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ib\Downloads\"/>
    </mc:Choice>
  </mc:AlternateContent>
  <xr:revisionPtr revIDLastSave="0" documentId="8_{F6B04683-3750-4D33-B0AB-28C515911819}" xr6:coauthVersionLast="47" xr6:coauthVersionMax="47" xr10:uidLastSave="{00000000-0000-0000-0000-000000000000}"/>
  <bookViews>
    <workbookView xWindow="28680" yWindow="-120" windowWidth="29040" windowHeight="15840" xr2:uid="{6BBD2D7B-00E9-4F7A-A54B-6BA33AE8B347}"/>
  </bookViews>
  <sheets>
    <sheet name="DI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E168" i="1"/>
  <c r="O163" i="1"/>
  <c r="N163" i="1"/>
  <c r="M163" i="1"/>
  <c r="K163" i="1"/>
  <c r="J163" i="1"/>
  <c r="I163" i="1"/>
  <c r="G163" i="1"/>
  <c r="F163" i="1"/>
  <c r="E163" i="1"/>
  <c r="B131" i="1"/>
  <c r="B130" i="1"/>
  <c r="M127" i="1" s="1"/>
  <c r="B129" i="1"/>
  <c r="H127" i="1"/>
  <c r="I157" i="1" s="1"/>
  <c r="G127" i="1"/>
  <c r="E157" i="1" s="1"/>
  <c r="O74" i="1"/>
  <c r="N74" i="1"/>
  <c r="M74" i="1"/>
  <c r="L74" i="1"/>
  <c r="K74" i="1"/>
  <c r="J74" i="1"/>
  <c r="I74" i="1"/>
  <c r="H74" i="1"/>
  <c r="G74" i="1"/>
  <c r="F74" i="1"/>
  <c r="E74" i="1"/>
  <c r="E45" i="1"/>
  <c r="F45" i="1" s="1"/>
  <c r="G45" i="1" s="1"/>
  <c r="H45" i="1" s="1"/>
  <c r="I45" i="1" s="1"/>
  <c r="J45" i="1" s="1"/>
  <c r="K45" i="1" s="1"/>
  <c r="L45" i="1" s="1"/>
  <c r="M45" i="1" s="1"/>
  <c r="F38" i="1"/>
  <c r="G38" i="1" s="1"/>
  <c r="H38" i="1" s="1"/>
  <c r="I38" i="1" s="1"/>
  <c r="J38" i="1" s="1"/>
  <c r="K38" i="1" s="1"/>
  <c r="L38" i="1" s="1"/>
  <c r="M38" i="1" s="1"/>
  <c r="N38" i="1" s="1"/>
  <c r="O38" i="1" s="1"/>
  <c r="G37" i="1"/>
  <c r="H37" i="1" s="1"/>
  <c r="I37" i="1" s="1"/>
  <c r="J37" i="1" s="1"/>
  <c r="K37" i="1" s="1"/>
  <c r="L37" i="1" s="1"/>
  <c r="M37" i="1" s="1"/>
  <c r="N37" i="1" s="1"/>
  <c r="O37" i="1" s="1"/>
  <c r="F37" i="1"/>
  <c r="F36" i="1"/>
  <c r="G36" i="1" s="1"/>
  <c r="H36" i="1" s="1"/>
  <c r="I36" i="1" s="1"/>
  <c r="J36" i="1" s="1"/>
  <c r="K36" i="1" s="1"/>
  <c r="L36" i="1" s="1"/>
  <c r="M36" i="1" s="1"/>
  <c r="N36" i="1" s="1"/>
  <c r="O36" i="1" s="1"/>
  <c r="E18" i="1"/>
  <c r="E40" i="1" s="1"/>
  <c r="E46" i="1" s="1"/>
  <c r="G17" i="1"/>
  <c r="H17" i="1" s="1"/>
  <c r="I17" i="1" s="1"/>
  <c r="J17" i="1" s="1"/>
  <c r="K17" i="1" s="1"/>
  <c r="L17" i="1" s="1"/>
  <c r="M17" i="1" s="1"/>
  <c r="N17" i="1" s="1"/>
  <c r="O17" i="1" s="1"/>
  <c r="F17" i="1"/>
  <c r="H16" i="1"/>
  <c r="I16" i="1" s="1"/>
  <c r="J16" i="1" s="1"/>
  <c r="K16" i="1" s="1"/>
  <c r="L16" i="1" s="1"/>
  <c r="M16" i="1" s="1"/>
  <c r="N16" i="1" s="1"/>
  <c r="O16" i="1" s="1"/>
  <c r="F16" i="1"/>
  <c r="G16" i="1" s="1"/>
  <c r="G15" i="1"/>
  <c r="H15" i="1" s="1"/>
  <c r="I15" i="1" s="1"/>
  <c r="J15" i="1" s="1"/>
  <c r="K15" i="1" s="1"/>
  <c r="L15" i="1" s="1"/>
  <c r="M15" i="1" s="1"/>
  <c r="N15" i="1" s="1"/>
  <c r="O15" i="1" s="1"/>
  <c r="F15" i="1"/>
  <c r="F14" i="1"/>
  <c r="G14" i="1" s="1"/>
  <c r="H14" i="1" s="1"/>
  <c r="I14" i="1" s="1"/>
  <c r="J14" i="1" s="1"/>
  <c r="K14" i="1" s="1"/>
  <c r="L14" i="1" s="1"/>
  <c r="M14" i="1" s="1"/>
  <c r="N14" i="1" s="1"/>
  <c r="O14" i="1" s="1"/>
  <c r="E11" i="1"/>
  <c r="F10" i="1"/>
  <c r="G10" i="1" s="1"/>
  <c r="H10" i="1" s="1"/>
  <c r="I10" i="1" s="1"/>
  <c r="J10" i="1" s="1"/>
  <c r="K10" i="1" s="1"/>
  <c r="L10" i="1" s="1"/>
  <c r="M10" i="1" s="1"/>
  <c r="N10" i="1" s="1"/>
  <c r="O10" i="1" s="1"/>
  <c r="K9" i="1"/>
  <c r="L9" i="1" s="1"/>
  <c r="M9" i="1" s="1"/>
  <c r="N9" i="1" s="1"/>
  <c r="O9" i="1" s="1"/>
  <c r="F9" i="1"/>
  <c r="G9" i="1" s="1"/>
  <c r="H9" i="1" s="1"/>
  <c r="I9" i="1" s="1"/>
  <c r="J9" i="1" s="1"/>
  <c r="F8" i="1"/>
  <c r="G8" i="1" s="1"/>
  <c r="H8" i="1" s="1"/>
  <c r="I8" i="1" s="1"/>
  <c r="J8" i="1" s="1"/>
  <c r="K8" i="1" s="1"/>
  <c r="L8" i="1" s="1"/>
  <c r="M8" i="1" s="1"/>
  <c r="N8" i="1" s="1"/>
  <c r="O8" i="1" s="1"/>
  <c r="G7" i="1"/>
  <c r="H7" i="1" s="1"/>
  <c r="F7" i="1"/>
  <c r="F11" i="1" s="1"/>
  <c r="F128" i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E82" i="1" l="1"/>
  <c r="E58" i="1"/>
  <c r="E76" i="1" s="1"/>
  <c r="E67" i="1"/>
  <c r="E52" i="1"/>
  <c r="E61" i="1"/>
  <c r="E73" i="1" s="1"/>
  <c r="E49" i="1"/>
  <c r="E55" i="1" s="1"/>
  <c r="E79" i="1"/>
  <c r="H11" i="1"/>
  <c r="I7" i="1"/>
  <c r="H18" i="1"/>
  <c r="M112" i="1"/>
  <c r="N45" i="1"/>
  <c r="F129" i="1"/>
  <c r="G158" i="1"/>
  <c r="F18" i="1"/>
  <c r="I158" i="1"/>
  <c r="J158" i="1"/>
  <c r="A119" i="1"/>
  <c r="L129" i="1"/>
  <c r="A115" i="1"/>
  <c r="I127" i="1"/>
  <c r="M157" i="1" s="1"/>
  <c r="F130" i="1"/>
  <c r="N127" i="1"/>
  <c r="O127" i="1"/>
  <c r="B181" i="1"/>
  <c r="B128" i="1"/>
  <c r="G18" i="1"/>
  <c r="O158" i="1"/>
  <c r="L130" i="1"/>
  <c r="A116" i="1"/>
  <c r="N158" i="1"/>
  <c r="A121" i="1"/>
  <c r="K158" i="1"/>
  <c r="A120" i="1"/>
  <c r="M158" i="1"/>
  <c r="L128" i="1"/>
  <c r="G11" i="1"/>
  <c r="A114" i="1"/>
  <c r="E158" i="1"/>
  <c r="F158" i="1"/>
  <c r="E64" i="1" l="1"/>
  <c r="E56" i="1"/>
  <c r="H19" i="1"/>
  <c r="H40" i="1"/>
  <c r="F19" i="1"/>
  <c r="F40" i="1"/>
  <c r="O45" i="1"/>
  <c r="N112" i="1"/>
  <c r="I11" i="1"/>
  <c r="I18" i="1"/>
  <c r="J7" i="1"/>
  <c r="G19" i="1"/>
  <c r="G40" i="1"/>
  <c r="G41" i="1" s="1"/>
  <c r="G47" i="1" s="1"/>
  <c r="B182" i="1"/>
  <c r="F41" i="1" l="1"/>
  <c r="F47" i="1" s="1"/>
  <c r="F46" i="1"/>
  <c r="H41" i="1"/>
  <c r="H47" i="1" s="1"/>
  <c r="J11" i="1"/>
  <c r="K7" i="1"/>
  <c r="J18" i="1"/>
  <c r="O112" i="1"/>
  <c r="B127" i="1" s="1"/>
  <c r="I19" i="1"/>
  <c r="I40" i="1"/>
  <c r="I41" i="1" s="1"/>
  <c r="I47" i="1" s="1"/>
  <c r="E70" i="1"/>
  <c r="E85" i="1" s="1"/>
  <c r="E86" i="1" s="1"/>
  <c r="E65" i="1"/>
  <c r="J19" i="1" l="1"/>
  <c r="J40" i="1"/>
  <c r="J41" i="1" s="1"/>
  <c r="J47" i="1" s="1"/>
  <c r="L7" i="1"/>
  <c r="K18" i="1"/>
  <c r="K11" i="1"/>
  <c r="E191" i="1"/>
  <c r="F49" i="1"/>
  <c r="F58" i="1"/>
  <c r="F76" i="1" s="1"/>
  <c r="F67" i="1"/>
  <c r="F52" i="1"/>
  <c r="F82" i="1"/>
  <c r="G46" i="1"/>
  <c r="F61" i="1"/>
  <c r="F73" i="1" s="1"/>
  <c r="F79" i="1"/>
  <c r="F55" i="1"/>
  <c r="B183" i="1"/>
  <c r="F64" i="1" l="1"/>
  <c r="F56" i="1"/>
  <c r="M7" i="1"/>
  <c r="L18" i="1"/>
  <c r="L11" i="1"/>
  <c r="E192" i="1"/>
  <c r="G67" i="1"/>
  <c r="G49" i="1"/>
  <c r="G79" i="1"/>
  <c r="G52" i="1"/>
  <c r="G82" i="1"/>
  <c r="H46" i="1"/>
  <c r="G61" i="1"/>
  <c r="G73" i="1" s="1"/>
  <c r="G55" i="1"/>
  <c r="G58" i="1"/>
  <c r="G76" i="1" s="1"/>
  <c r="B184" i="1"/>
  <c r="K40" i="1"/>
  <c r="K41" i="1" s="1"/>
  <c r="K47" i="1" s="1"/>
  <c r="K19" i="1"/>
  <c r="E193" i="1" l="1"/>
  <c r="H61" i="1"/>
  <c r="H73" i="1" s="1"/>
  <c r="H49" i="1"/>
  <c r="H79" i="1"/>
  <c r="H52" i="1"/>
  <c r="H67" i="1"/>
  <c r="H82" i="1"/>
  <c r="I46" i="1"/>
  <c r="H55" i="1"/>
  <c r="H58" i="1"/>
  <c r="H76" i="1" s="1"/>
  <c r="N7" i="1"/>
  <c r="M18" i="1"/>
  <c r="M11" i="1"/>
  <c r="G64" i="1"/>
  <c r="G56" i="1"/>
  <c r="L40" i="1"/>
  <c r="L41" i="1" s="1"/>
  <c r="L47" i="1" s="1"/>
  <c r="L19" i="1"/>
  <c r="E200" i="1"/>
  <c r="F70" i="1"/>
  <c r="F85" i="1"/>
  <c r="F65" i="1"/>
  <c r="E201" i="1" l="1"/>
  <c r="G70" i="1"/>
  <c r="G85" i="1"/>
  <c r="G65" i="1"/>
  <c r="H64" i="1"/>
  <c r="H56" i="1"/>
  <c r="F115" i="1"/>
  <c r="F116" i="1"/>
  <c r="F86" i="1"/>
  <c r="F114" i="1"/>
  <c r="N18" i="1"/>
  <c r="O7" i="1"/>
  <c r="N11" i="1"/>
  <c r="M19" i="1"/>
  <c r="M40" i="1"/>
  <c r="M41" i="1" s="1"/>
  <c r="M47" i="1" s="1"/>
  <c r="I55" i="1"/>
  <c r="I49" i="1"/>
  <c r="I79" i="1"/>
  <c r="I52" i="1"/>
  <c r="I67" i="1"/>
  <c r="I82" i="1"/>
  <c r="J46" i="1"/>
  <c r="I61" i="1"/>
  <c r="I73" i="1" s="1"/>
  <c r="I58" i="1"/>
  <c r="I76" i="1" s="1"/>
  <c r="O18" i="1" l="1"/>
  <c r="O11" i="1"/>
  <c r="G86" i="1"/>
  <c r="G116" i="1"/>
  <c r="G115" i="1"/>
  <c r="G114" i="1"/>
  <c r="E202" i="1"/>
  <c r="H65" i="1"/>
  <c r="H70" i="1"/>
  <c r="H85" i="1" s="1"/>
  <c r="I56" i="1"/>
  <c r="I64" i="1"/>
  <c r="N40" i="1"/>
  <c r="N41" i="1" s="1"/>
  <c r="N47" i="1" s="1"/>
  <c r="N19" i="1"/>
  <c r="J49" i="1"/>
  <c r="J79" i="1"/>
  <c r="J58" i="1"/>
  <c r="J76" i="1" s="1"/>
  <c r="K46" i="1"/>
  <c r="J52" i="1"/>
  <c r="J55" i="1" s="1"/>
  <c r="J67" i="1"/>
  <c r="J82" i="1"/>
  <c r="J61" i="1"/>
  <c r="J73" i="1" s="1"/>
  <c r="H86" i="1" l="1"/>
  <c r="H114" i="1"/>
  <c r="H116" i="1"/>
  <c r="H115" i="1"/>
  <c r="J64" i="1"/>
  <c r="J56" i="1"/>
  <c r="I65" i="1"/>
  <c r="I70" i="1"/>
  <c r="I85" i="1"/>
  <c r="K79" i="1"/>
  <c r="K58" i="1"/>
  <c r="K76" i="1" s="1"/>
  <c r="L46" i="1"/>
  <c r="K52" i="1"/>
  <c r="K67" i="1"/>
  <c r="K82" i="1"/>
  <c r="K61" i="1"/>
  <c r="K73" i="1" s="1"/>
  <c r="K49" i="1"/>
  <c r="K55" i="1" s="1"/>
  <c r="O40" i="1"/>
  <c r="O41" i="1" s="1"/>
  <c r="O47" i="1" s="1"/>
  <c r="O19" i="1"/>
  <c r="K64" i="1" l="1"/>
  <c r="K56" i="1"/>
  <c r="L58" i="1"/>
  <c r="L76" i="1" s="1"/>
  <c r="M46" i="1"/>
  <c r="L52" i="1"/>
  <c r="L82" i="1"/>
  <c r="L67" i="1"/>
  <c r="L61" i="1"/>
  <c r="L73" i="1" s="1"/>
  <c r="L49" i="1"/>
  <c r="L55" i="1"/>
  <c r="L79" i="1"/>
  <c r="I86" i="1"/>
  <c r="I114" i="1"/>
  <c r="I116" i="1"/>
  <c r="I115" i="1"/>
  <c r="J65" i="1"/>
  <c r="J70" i="1"/>
  <c r="J85" i="1" s="1"/>
  <c r="J86" i="1" l="1"/>
  <c r="J114" i="1"/>
  <c r="J116" i="1"/>
  <c r="J115" i="1"/>
  <c r="L56" i="1"/>
  <c r="L64" i="1"/>
  <c r="M58" i="1"/>
  <c r="M76" i="1" s="1"/>
  <c r="N46" i="1"/>
  <c r="M52" i="1"/>
  <c r="M82" i="1"/>
  <c r="M61" i="1"/>
  <c r="M73" i="1" s="1"/>
  <c r="M49" i="1"/>
  <c r="M55" i="1"/>
  <c r="M79" i="1"/>
  <c r="M67" i="1"/>
  <c r="K65" i="1"/>
  <c r="K70" i="1"/>
  <c r="K85" i="1" s="1"/>
  <c r="K116" i="1" l="1"/>
  <c r="K114" i="1"/>
  <c r="K115" i="1"/>
  <c r="K86" i="1"/>
  <c r="M64" i="1"/>
  <c r="M56" i="1"/>
  <c r="N58" i="1"/>
  <c r="N76" i="1" s="1"/>
  <c r="O46" i="1"/>
  <c r="N52" i="1"/>
  <c r="N82" i="1"/>
  <c r="N67" i="1"/>
  <c r="N61" i="1"/>
  <c r="N73" i="1" s="1"/>
  <c r="N49" i="1"/>
  <c r="N55" i="1" s="1"/>
  <c r="N79" i="1"/>
  <c r="L70" i="1"/>
  <c r="L85" i="1" s="1"/>
  <c r="L65" i="1"/>
  <c r="L114" i="1" l="1"/>
  <c r="L116" i="1"/>
  <c r="L115" i="1"/>
  <c r="L86" i="1"/>
  <c r="N56" i="1"/>
  <c r="N64" i="1"/>
  <c r="M65" i="1"/>
  <c r="M70" i="1"/>
  <c r="M85" i="1"/>
  <c r="O49" i="1"/>
  <c r="O55" i="1" s="1"/>
  <c r="B177" i="1"/>
  <c r="B176" i="1"/>
  <c r="B175" i="1"/>
  <c r="O52" i="1"/>
  <c r="O82" i="1"/>
  <c r="O67" i="1"/>
  <c r="O61" i="1"/>
  <c r="O73" i="1" s="1"/>
  <c r="O79" i="1"/>
  <c r="O58" i="1"/>
  <c r="O76" i="1" s="1"/>
  <c r="O56" i="1" l="1"/>
  <c r="O64" i="1"/>
  <c r="M115" i="1"/>
  <c r="M86" i="1"/>
  <c r="M114" i="1"/>
  <c r="M116" i="1"/>
  <c r="N65" i="1"/>
  <c r="N70" i="1"/>
  <c r="N85" i="1"/>
  <c r="O65" i="1" l="1"/>
  <c r="O70" i="1"/>
  <c r="O85" i="1"/>
  <c r="N115" i="1"/>
  <c r="N86" i="1"/>
  <c r="N114" i="1"/>
  <c r="N116" i="1"/>
  <c r="O86" i="1" l="1"/>
  <c r="B126" i="1"/>
  <c r="O115" i="1"/>
  <c r="E120" i="1" s="1"/>
  <c r="N160" i="1" l="1"/>
  <c r="J160" i="1"/>
  <c r="F160" i="1"/>
  <c r="H130" i="1"/>
  <c r="N130" i="1" s="1"/>
  <c r="K161" i="1" s="1"/>
  <c r="H128" i="1"/>
  <c r="N128" i="1" s="1"/>
  <c r="I161" i="1" s="1"/>
  <c r="H129" i="1"/>
  <c r="N129" i="1" s="1"/>
  <c r="J161" i="1" s="1"/>
  <c r="I130" i="1"/>
  <c r="O130" i="1" s="1"/>
  <c r="O161" i="1" s="1"/>
  <c r="G130" i="1"/>
  <c r="M130" i="1" s="1"/>
  <c r="G161" i="1" s="1"/>
  <c r="I129" i="1"/>
  <c r="O129" i="1" s="1"/>
  <c r="N161" i="1" s="1"/>
  <c r="I128" i="1"/>
  <c r="O128" i="1" s="1"/>
  <c r="M161" i="1" s="1"/>
  <c r="G128" i="1"/>
  <c r="M128" i="1" s="1"/>
  <c r="E161" i="1" s="1"/>
  <c r="O114" i="1"/>
  <c r="E119" i="1" s="1"/>
  <c r="G129" i="1"/>
  <c r="M129" i="1" s="1"/>
  <c r="F161" i="1" s="1"/>
  <c r="O116" i="1"/>
  <c r="E121" i="1" s="1"/>
  <c r="K160" i="1" l="1"/>
  <c r="K162" i="1" s="1"/>
  <c r="K165" i="1" s="1"/>
  <c r="K166" i="1" s="1"/>
  <c r="O160" i="1"/>
  <c r="O162" i="1" s="1"/>
  <c r="O165" i="1" s="1"/>
  <c r="O166" i="1" s="1"/>
  <c r="G160" i="1"/>
  <c r="G162" i="1" s="1"/>
  <c r="G165" i="1" s="1"/>
  <c r="G166" i="1" s="1"/>
  <c r="E160" i="1"/>
  <c r="E162" i="1" s="1"/>
  <c r="E165" i="1" s="1"/>
  <c r="E166" i="1" s="1"/>
  <c r="M160" i="1"/>
  <c r="M162" i="1" s="1"/>
  <c r="M165" i="1" s="1"/>
  <c r="M166" i="1" s="1"/>
  <c r="I160" i="1"/>
  <c r="I162" i="1" s="1"/>
  <c r="I165" i="1" s="1"/>
  <c r="I166" i="1" s="1"/>
  <c r="J162" i="1"/>
  <c r="J165" i="1" s="1"/>
  <c r="J166" i="1" s="1"/>
  <c r="F162" i="1"/>
  <c r="F165" i="1" s="1"/>
  <c r="F166" i="1" s="1"/>
  <c r="N162" i="1"/>
  <c r="N165" i="1" s="1"/>
  <c r="N166" i="1" s="1"/>
  <c r="E170" i="1" l="1"/>
  <c r="D170" i="1"/>
  <c r="B170" i="1"/>
  <c r="E171" i="1"/>
  <c r="D171" i="1"/>
  <c r="B171" i="1"/>
  <c r="E172" i="1"/>
  <c r="D172" i="1"/>
  <c r="B1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Bajrami Bros</author>
  </authors>
  <commentList>
    <comment ref="G7" authorId="0" shapeId="0" xr:uid="{5F41BE75-CC97-44E9-8029-36216A7AFB57}">
      <text>
        <r>
          <rPr>
            <b/>
            <sz val="14"/>
            <color indexed="81"/>
            <rFont val="Tahoma"/>
            <family val="2"/>
          </rPr>
          <t>DIS new guidance is for 215-245M by 2024</t>
        </r>
      </text>
    </comment>
    <comment ref="O86" authorId="0" shapeId="0" xr:uid="{170B4800-9553-4209-9A3A-209D79C3FB9B}">
      <text>
        <r>
          <rPr>
            <b/>
            <sz val="12"/>
            <color indexed="81"/>
            <rFont val="Tahoma"/>
            <family val="2"/>
          </rPr>
          <t>DIS was hitting 16.5% free cash flow margins in 2017 and 2018</t>
        </r>
      </text>
    </comment>
    <comment ref="A171" authorId="0" shapeId="0" xr:uid="{0C3C0D66-8590-46CC-89E5-B1A9B66F268B}">
      <text>
        <r>
          <rPr>
            <b/>
            <sz val="11"/>
            <color indexed="81"/>
            <rFont val="Tahoma"/>
            <family val="2"/>
          </rPr>
          <t>Lower WACC + Higher Growth + Higher Margin</t>
        </r>
      </text>
    </comment>
    <comment ref="A172" authorId="0" shapeId="0" xr:uid="{01168CF9-8890-48B3-9617-316A0E736B55}">
      <text>
        <r>
          <rPr>
            <b/>
            <sz val="11"/>
            <color indexed="81"/>
            <rFont val="Tahoma"/>
            <family val="2"/>
          </rPr>
          <t>Higher WACC + Lower Growth + Lower Margin</t>
        </r>
      </text>
    </comment>
    <comment ref="B175" authorId="0" shapeId="0" xr:uid="{F59E5DD0-77DD-478D-B5A0-5D3E8CAF24A3}">
      <text>
        <r>
          <rPr>
            <b/>
            <sz val="12"/>
            <color indexed="81"/>
            <rFont val="Tahoma"/>
            <family val="2"/>
          </rPr>
          <t>We believe DIS, because of its maturity, would fall closer to a 12.5-15x multiple</t>
        </r>
      </text>
    </comment>
  </commentList>
</comments>
</file>

<file path=xl/sharedStrings.xml><?xml version="1.0" encoding="utf-8"?>
<sst xmlns="http://schemas.openxmlformats.org/spreadsheetml/2006/main" count="123" uniqueCount="95">
  <si>
    <t xml:space="preserve"> </t>
  </si>
  <si>
    <t>DIS Discounted Cash Flow Analysis</t>
  </si>
  <si>
    <t>Created by CUBE</t>
  </si>
  <si>
    <t>Inputs</t>
  </si>
  <si>
    <t>SUSBCRIBERS (M)</t>
  </si>
  <si>
    <t>Fiscal Year End Date</t>
  </si>
  <si>
    <t>Discount Rate</t>
  </si>
  <si>
    <t>DIS+</t>
  </si>
  <si>
    <t>Discount Rate Change</t>
  </si>
  <si>
    <t>Hulu SVOD</t>
  </si>
  <si>
    <t>Perpetual Growth Rate</t>
  </si>
  <si>
    <t>Hulu Live +SVOD</t>
  </si>
  <si>
    <t>Perpetual Growth Rate Change</t>
  </si>
  <si>
    <t>ESPN+</t>
  </si>
  <si>
    <t>Perpetual Free Cash Flow Margin Change</t>
  </si>
  <si>
    <t>Beta</t>
  </si>
  <si>
    <t>PRICE PER MONTH</t>
  </si>
  <si>
    <t>Hulu Live + SVOD</t>
  </si>
  <si>
    <t>DTC ANNUAL REV</t>
  </si>
  <si>
    <t>Dis+ User Growth</t>
  </si>
  <si>
    <t>Hulu SVOD User Growth</t>
  </si>
  <si>
    <t>Hulu Live +SVOD User Growth</t>
  </si>
  <si>
    <t>ESPN+ User Growth</t>
  </si>
  <si>
    <t>Dis+ Price Growth</t>
  </si>
  <si>
    <t>-</t>
  </si>
  <si>
    <t>Hulu SVOD Price Growth</t>
  </si>
  <si>
    <t>Hulu Live +SVOD Price Growth</t>
  </si>
  <si>
    <t>ESPN+ Price Growth</t>
  </si>
  <si>
    <t>Linear Network Revenue Growth</t>
  </si>
  <si>
    <t>Content Sales/Licensing Growth</t>
  </si>
  <si>
    <t>Parks/Experiences/Product Growth</t>
  </si>
  <si>
    <t>Linear Network Revenue</t>
  </si>
  <si>
    <t>Content Sales/Licensing</t>
  </si>
  <si>
    <t>Parks Experiences/Product</t>
  </si>
  <si>
    <t>Eliminations</t>
  </si>
  <si>
    <t>TOTAL REVENUE</t>
  </si>
  <si>
    <t>Operating Summary</t>
  </si>
  <si>
    <t>$ million, unless otherwise noted</t>
  </si>
  <si>
    <t>12-Month Period Ending</t>
  </si>
  <si>
    <t>Revenue</t>
  </si>
  <si>
    <t>% growth</t>
  </si>
  <si>
    <t>Cost of Services</t>
  </si>
  <si>
    <t>% of sales</t>
  </si>
  <si>
    <t>Cost of Products</t>
  </si>
  <si>
    <t>Gross Profit</t>
  </si>
  <si>
    <t>SG&amp;A</t>
  </si>
  <si>
    <t>Depreciation &amp; Amortization</t>
  </si>
  <si>
    <t>Operating Income</t>
  </si>
  <si>
    <t>Interest Expense</t>
  </si>
  <si>
    <t>Taxes</t>
  </si>
  <si>
    <t>Tax Rate %</t>
  </si>
  <si>
    <t>Stock-Based Compensation</t>
  </si>
  <si>
    <t>% of General and Admin</t>
  </si>
  <si>
    <t>Change In NWC</t>
  </si>
  <si>
    <t>CapEx</t>
  </si>
  <si>
    <t xml:space="preserve">Free Cash Flow </t>
  </si>
  <si>
    <t>Projection Period Calculation</t>
  </si>
  <si>
    <t>Discount Period</t>
  </si>
  <si>
    <t>Discounted FCF, Assuming Discount Rates as Shown</t>
  </si>
  <si>
    <t>Cumulative Discounted FCF over Projection Period</t>
  </si>
  <si>
    <t>Terminal Value Calculation</t>
  </si>
  <si>
    <t>Terminal Value ("TV")</t>
  </si>
  <si>
    <t>Present Value of TV</t>
  </si>
  <si>
    <t>Terminal Year FCF</t>
  </si>
  <si>
    <t>Terminal Year Discount Period</t>
  </si>
  <si>
    <t>Discounted Cash Flow Summary</t>
  </si>
  <si>
    <t>Company Value Calculation</t>
  </si>
  <si>
    <t>FCF over Projection Period</t>
  </si>
  <si>
    <t>Terminus</t>
  </si>
  <si>
    <t>Enterprise Value</t>
  </si>
  <si>
    <t xml:space="preserve">   Debt</t>
  </si>
  <si>
    <t xml:space="preserve">   Cash</t>
  </si>
  <si>
    <t>Equity Value</t>
  </si>
  <si>
    <t>Price Per Share</t>
  </si>
  <si>
    <t>Shares Outstanding (Millions)</t>
  </si>
  <si>
    <t>Current Price</t>
  </si>
  <si>
    <t>Price Target</t>
  </si>
  <si>
    <t>Market Cap</t>
  </si>
  <si>
    <t>Base Case Upside</t>
  </si>
  <si>
    <t>Bull Case Upside</t>
  </si>
  <si>
    <t>Bear Case Downside</t>
  </si>
  <si>
    <t>Exit Multiples (Assuming 20% EBITDA Margins)</t>
  </si>
  <si>
    <t>Valuation</t>
  </si>
  <si>
    <t>12.5x Exit EBITDA Multiple</t>
  </si>
  <si>
    <t>15x Exit EBITDA Multiple</t>
  </si>
  <si>
    <t>20x Exit EBITDA Multiple</t>
  </si>
  <si>
    <t>Entertainment Production Avg. Exit Multiple</t>
  </si>
  <si>
    <t>19x</t>
  </si>
  <si>
    <t>2022 EV/S</t>
  </si>
  <si>
    <t>2023 EV/S</t>
  </si>
  <si>
    <t>2024 EV/S</t>
  </si>
  <si>
    <t>Wall Street Analyst Revenue Expectations</t>
  </si>
  <si>
    <t>CUBE Estimates</t>
  </si>
  <si>
    <t>Wall Street Analyst EBITDA Expectations</t>
  </si>
  <si>
    <t>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</si>
</sst>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&quot;$&quot;#,##0.00"/>
    <numFmt numFmtId="167" formatCode="0.0%"/>
    <numFmt numFmtId="168" formatCode="&quot;$&quot;#,##0"/>
    <numFmt numFmtId="169" formatCode="#,##0.0_);\(#,##0.0\)"/>
    <numFmt numFmtId="170" formatCode="0.0%_);\(0.0%\)"/>
    <numFmt numFmtId="171" formatCode="0.0\x_);\(0.0\x\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222222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i/>
      <u/>
      <sz val="14"/>
      <color theme="1"/>
      <name val="Arial"/>
      <family val="2"/>
    </font>
    <font>
      <sz val="12"/>
      <color rgb="FF0000FF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i/>
      <sz val="12"/>
      <name val="Arial"/>
      <family val="2"/>
    </font>
    <font>
      <i/>
      <sz val="12"/>
      <color rgb="FF0000FF"/>
      <name val="Arial"/>
      <family val="2"/>
    </font>
    <font>
      <i/>
      <sz val="12"/>
      <color rgb="FF0000FF"/>
      <name val="Calibri"/>
      <family val="2"/>
      <scheme val="minor"/>
    </font>
    <font>
      <sz val="12"/>
      <color rgb="FF008000"/>
      <name val="Arial"/>
      <family val="2"/>
    </font>
    <font>
      <i/>
      <sz val="11"/>
      <color theme="1"/>
      <name val="Arial"/>
      <family val="2"/>
    </font>
    <font>
      <i/>
      <sz val="8.5"/>
      <color theme="1"/>
      <name val="Arial"/>
      <family val="2"/>
    </font>
    <font>
      <i/>
      <sz val="10"/>
      <color theme="1"/>
      <name val="Arial"/>
      <family val="2"/>
    </font>
    <font>
      <i/>
      <u val="singleAccounting"/>
      <sz val="12"/>
      <color theme="1"/>
      <name val="Arial"/>
      <family val="2"/>
    </font>
    <font>
      <b/>
      <sz val="14"/>
      <color rgb="FF222222"/>
      <name val="Arial"/>
      <family val="2"/>
    </font>
    <font>
      <b/>
      <i/>
      <sz val="14"/>
      <color theme="1"/>
      <name val="Arial"/>
      <family val="2"/>
    </font>
    <font>
      <b/>
      <i/>
      <sz val="12"/>
      <color rgb="FF92D050"/>
      <name val="Arial"/>
      <family val="2"/>
    </font>
    <font>
      <b/>
      <i/>
      <sz val="14"/>
      <name val="Arial"/>
      <family val="2"/>
    </font>
    <font>
      <sz val="12"/>
      <color theme="1"/>
      <name val="Abadi MT Condensed Extra Bold"/>
      <family val="2"/>
    </font>
    <font>
      <u/>
      <sz val="12"/>
      <color theme="1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ail"/>
    </font>
    <font>
      <b/>
      <sz val="16"/>
      <color rgb="FF00B050"/>
      <name val="Arial"/>
      <family val="2"/>
    </font>
    <font>
      <i/>
      <sz val="13"/>
      <color theme="1"/>
      <name val="Arial"/>
      <family val="2"/>
    </font>
    <font>
      <b/>
      <sz val="14"/>
      <color indexed="81"/>
      <name val="Tahoma"/>
      <family val="2"/>
    </font>
    <font>
      <b/>
      <sz val="12"/>
      <color indexed="81"/>
      <name val="Tahoma"/>
      <family val="2"/>
    </font>
    <font>
      <b/>
      <sz val="11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87">
    <xf numFmtId="0" fontId="0" fillId="0" borderId="0" xfId="0"/>
    <xf numFmtId="0" fontId="2" fillId="0" borderId="0" xfId="3"/>
    <xf numFmtId="0" fontId="3" fillId="0" borderId="0" xfId="3" applyFont="1"/>
    <xf numFmtId="0" fontId="4" fillId="0" borderId="0" xfId="3" applyFont="1"/>
    <xf numFmtId="0" fontId="5" fillId="0" borderId="0" xfId="3" applyFont="1"/>
    <xf numFmtId="0" fontId="2" fillId="2" borderId="0" xfId="3" applyFill="1"/>
    <xf numFmtId="0" fontId="6" fillId="2" borderId="0" xfId="3" applyFont="1" applyFill="1" applyAlignment="1">
      <alignment horizontal="center" vertical="center"/>
    </xf>
    <xf numFmtId="0" fontId="7" fillId="0" borderId="0" xfId="3" applyFont="1"/>
    <xf numFmtId="0" fontId="8" fillId="0" borderId="0" xfId="3" applyFont="1"/>
    <xf numFmtId="0" fontId="8" fillId="2" borderId="0" xfId="3" applyFont="1" applyFill="1"/>
    <xf numFmtId="0" fontId="8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horizontal="center"/>
    </xf>
    <xf numFmtId="0" fontId="9" fillId="2" borderId="0" xfId="3" applyFont="1" applyFill="1"/>
    <xf numFmtId="0" fontId="10" fillId="3" borderId="0" xfId="3" applyFont="1" applyFill="1"/>
    <xf numFmtId="0" fontId="11" fillId="3" borderId="0" xfId="3" applyFont="1" applyFill="1"/>
    <xf numFmtId="0" fontId="12" fillId="0" borderId="0" xfId="3" applyFont="1" applyAlignment="1">
      <alignment horizontal="center" vertical="top"/>
    </xf>
    <xf numFmtId="164" fontId="8" fillId="2" borderId="0" xfId="3" applyNumberFormat="1" applyFont="1" applyFill="1"/>
    <xf numFmtId="14" fontId="13" fillId="2" borderId="0" xfId="3" applyNumberFormat="1" applyFont="1" applyFill="1"/>
    <xf numFmtId="14" fontId="8" fillId="2" borderId="0" xfId="3" applyNumberFormat="1" applyFont="1" applyFill="1"/>
    <xf numFmtId="14" fontId="13" fillId="0" borderId="1" xfId="3" applyNumberFormat="1" applyFont="1" applyBorder="1" applyAlignment="1">
      <alignment horizontal="right"/>
    </xf>
    <xf numFmtId="14" fontId="14" fillId="2" borderId="1" xfId="3" applyNumberFormat="1" applyFont="1" applyFill="1" applyBorder="1" applyAlignment="1">
      <alignment horizontal="right"/>
    </xf>
    <xf numFmtId="14" fontId="14" fillId="0" borderId="1" xfId="3" applyNumberFormat="1" applyFont="1" applyBorder="1" applyAlignment="1">
      <alignment horizontal="right"/>
    </xf>
    <xf numFmtId="10" fontId="13" fillId="2" borderId="0" xfId="4" applyNumberFormat="1" applyFont="1" applyFill="1"/>
    <xf numFmtId="10" fontId="8" fillId="2" borderId="0" xfId="3" applyNumberFormat="1" applyFont="1" applyFill="1"/>
    <xf numFmtId="0" fontId="8" fillId="0" borderId="0" xfId="3" applyFont="1" applyAlignment="1">
      <alignment horizontal="right" vertical="center"/>
    </xf>
    <xf numFmtId="165" fontId="7" fillId="0" borderId="0" xfId="3" applyNumberFormat="1" applyFont="1"/>
    <xf numFmtId="165" fontId="8" fillId="0" borderId="2" xfId="3" applyNumberFormat="1" applyFont="1" applyBorder="1"/>
    <xf numFmtId="10" fontId="13" fillId="2" borderId="0" xfId="3" applyNumberFormat="1" applyFont="1" applyFill="1"/>
    <xf numFmtId="165" fontId="8" fillId="0" borderId="0" xfId="3" applyNumberFormat="1" applyFont="1"/>
    <xf numFmtId="10" fontId="8" fillId="0" borderId="0" xfId="3" applyNumberFormat="1" applyFont="1"/>
    <xf numFmtId="44" fontId="8" fillId="0" borderId="0" xfId="5" applyFont="1" applyFill="1" applyBorder="1" applyAlignment="1">
      <alignment horizontal="right"/>
    </xf>
    <xf numFmtId="164" fontId="15" fillId="2" borderId="0" xfId="3" applyNumberFormat="1" applyFont="1" applyFill="1"/>
    <xf numFmtId="44" fontId="8" fillId="2" borderId="0" xfId="5" applyFont="1" applyFill="1" applyBorder="1" applyAlignment="1">
      <alignment horizontal="right"/>
    </xf>
    <xf numFmtId="165" fontId="8" fillId="0" borderId="3" xfId="3" applyNumberFormat="1" applyFont="1" applyBorder="1"/>
    <xf numFmtId="1" fontId="8" fillId="0" borderId="0" xfId="4" applyNumberFormat="1" applyFont="1" applyFill="1" applyBorder="1"/>
    <xf numFmtId="2" fontId="13" fillId="2" borderId="0" xfId="3" applyNumberFormat="1" applyFont="1" applyFill="1" applyAlignment="1">
      <alignment horizontal="right"/>
    </xf>
    <xf numFmtId="2" fontId="8" fillId="0" borderId="0" xfId="4" applyNumberFormat="1" applyFont="1" applyFill="1" applyBorder="1"/>
    <xf numFmtId="10" fontId="12" fillId="0" borderId="0" xfId="4" applyNumberFormat="1" applyFont="1" applyFill="1" applyBorder="1" applyAlignment="1">
      <alignment horizontal="center"/>
    </xf>
    <xf numFmtId="0" fontId="8" fillId="2" borderId="0" xfId="3" applyFont="1" applyFill="1" applyAlignment="1">
      <alignment horizontal="right" vertical="center"/>
    </xf>
    <xf numFmtId="166" fontId="7" fillId="0" borderId="0" xfId="1" applyNumberFormat="1" applyFont="1"/>
    <xf numFmtId="166" fontId="8" fillId="0" borderId="0" xfId="5" applyNumberFormat="1" applyFont="1" applyFill="1" applyBorder="1"/>
    <xf numFmtId="166" fontId="8" fillId="2" borderId="0" xfId="4" applyNumberFormat="1" applyFont="1" applyFill="1" applyBorder="1"/>
    <xf numFmtId="10" fontId="8" fillId="2" borderId="0" xfId="3" applyNumberFormat="1" applyFont="1" applyFill="1" applyAlignment="1">
      <alignment horizontal="right"/>
    </xf>
    <xf numFmtId="166" fontId="8" fillId="0" borderId="3" xfId="1" applyNumberFormat="1" applyFont="1" applyBorder="1"/>
    <xf numFmtId="166" fontId="8" fillId="0" borderId="3" xfId="5" applyNumberFormat="1" applyFont="1" applyFill="1" applyBorder="1"/>
    <xf numFmtId="10" fontId="15" fillId="2" borderId="0" xfId="3" applyNumberFormat="1" applyFont="1" applyFill="1" applyAlignment="1">
      <alignment horizontal="right"/>
    </xf>
    <xf numFmtId="8" fontId="15" fillId="4" borderId="0" xfId="4" applyNumberFormat="1" applyFont="1" applyFill="1" applyBorder="1"/>
    <xf numFmtId="9" fontId="8" fillId="0" borderId="0" xfId="4" applyFont="1" applyFill="1" applyBorder="1"/>
    <xf numFmtId="10" fontId="7" fillId="0" borderId="0" xfId="4" applyNumberFormat="1" applyFont="1" applyFill="1" applyBorder="1"/>
    <xf numFmtId="8" fontId="7" fillId="0" borderId="0" xfId="4" applyNumberFormat="1" applyFont="1" applyFill="1" applyBorder="1"/>
    <xf numFmtId="0" fontId="7" fillId="0" borderId="0" xfId="3" applyFont="1" applyAlignment="1">
      <alignment horizontal="right" vertical="center"/>
    </xf>
    <xf numFmtId="9" fontId="7" fillId="0" borderId="0" xfId="4" applyFont="1" applyFill="1" applyBorder="1"/>
    <xf numFmtId="167" fontId="7" fillId="2" borderId="0" xfId="4" applyNumberFormat="1" applyFont="1" applyFill="1" applyBorder="1"/>
    <xf numFmtId="0" fontId="16" fillId="0" borderId="0" xfId="3" applyFont="1"/>
    <xf numFmtId="44" fontId="7" fillId="0" borderId="0" xfId="5" applyFont="1" applyFill="1" applyBorder="1" applyAlignment="1">
      <alignment horizontal="right"/>
    </xf>
    <xf numFmtId="167" fontId="7" fillId="0" borderId="0" xfId="4" applyNumberFormat="1" applyFont="1" applyFill="1" applyBorder="1"/>
    <xf numFmtId="9" fontId="7" fillId="0" borderId="3" xfId="4" applyFont="1" applyFill="1" applyBorder="1"/>
    <xf numFmtId="167" fontId="7" fillId="2" borderId="3" xfId="4" applyNumberFormat="1" applyFont="1" applyFill="1" applyBorder="1"/>
    <xf numFmtId="167" fontId="7" fillId="0" borderId="0" xfId="4" applyNumberFormat="1" applyFont="1" applyFill="1" applyBorder="1" applyAlignment="1">
      <alignment horizontal="right"/>
    </xf>
    <xf numFmtId="9" fontId="7" fillId="0" borderId="3" xfId="4" applyFont="1" applyFill="1" applyBorder="1" applyAlignment="1">
      <alignment horizontal="right"/>
    </xf>
    <xf numFmtId="9" fontId="7" fillId="2" borderId="0" xfId="4" applyFont="1" applyFill="1" applyBorder="1"/>
    <xf numFmtId="0" fontId="17" fillId="5" borderId="0" xfId="3" applyFont="1" applyFill="1" applyAlignment="1">
      <alignment horizontal="center"/>
    </xf>
    <xf numFmtId="168" fontId="17" fillId="5" borderId="0" xfId="5" applyNumberFormat="1" applyFont="1" applyFill="1" applyBorder="1" applyAlignment="1">
      <alignment horizontal="center"/>
    </xf>
    <xf numFmtId="168" fontId="17" fillId="6" borderId="0" xfId="3" applyNumberFormat="1" applyFont="1" applyFill="1" applyAlignment="1">
      <alignment horizontal="center"/>
    </xf>
    <xf numFmtId="168" fontId="17" fillId="6" borderId="0" xfId="5" applyNumberFormat="1" applyFont="1" applyFill="1" applyBorder="1" applyAlignment="1">
      <alignment horizontal="center"/>
    </xf>
    <xf numFmtId="9" fontId="8" fillId="2" borderId="0" xfId="4" applyFont="1" applyFill="1" applyBorder="1"/>
    <xf numFmtId="44" fontId="18" fillId="0" borderId="0" xfId="5" applyFont="1" applyFill="1" applyBorder="1" applyAlignment="1">
      <alignment horizontal="right"/>
    </xf>
    <xf numFmtId="166" fontId="8" fillId="0" borderId="0" xfId="4" applyNumberFormat="1" applyFont="1" applyFill="1" applyBorder="1"/>
    <xf numFmtId="166" fontId="8" fillId="0" borderId="3" xfId="4" applyNumberFormat="1" applyFont="1" applyFill="1" applyBorder="1"/>
    <xf numFmtId="44" fontId="15" fillId="0" borderId="0" xfId="5" applyFont="1" applyFill="1" applyBorder="1" applyAlignment="1">
      <alignment horizontal="right"/>
    </xf>
    <xf numFmtId="167" fontId="19" fillId="2" borderId="0" xfId="4" applyNumberFormat="1" applyFont="1" applyFill="1" applyBorder="1"/>
    <xf numFmtId="0" fontId="15" fillId="0" borderId="0" xfId="3" applyFont="1"/>
    <xf numFmtId="0" fontId="8" fillId="0" borderId="1" xfId="3" applyFont="1" applyBorder="1" applyAlignment="1">
      <alignment horizontal="center"/>
    </xf>
    <xf numFmtId="0" fontId="8" fillId="0" borderId="4" xfId="3" applyFont="1" applyBorder="1"/>
    <xf numFmtId="0" fontId="8" fillId="2" borderId="4" xfId="3" applyFont="1" applyFill="1" applyBorder="1"/>
    <xf numFmtId="14" fontId="13" fillId="0" borderId="4" xfId="3" applyNumberFormat="1" applyFont="1" applyBorder="1"/>
    <xf numFmtId="14" fontId="14" fillId="2" borderId="4" xfId="3" applyNumberFormat="1" applyFont="1" applyFill="1" applyBorder="1" applyAlignment="1">
      <alignment horizontal="right"/>
    </xf>
    <xf numFmtId="14" fontId="14" fillId="0" borderId="4" xfId="3" applyNumberFormat="1" applyFont="1" applyBorder="1" applyAlignment="1">
      <alignment horizontal="right"/>
    </xf>
    <xf numFmtId="0" fontId="15" fillId="7" borderId="2" xfId="3" applyFont="1" applyFill="1" applyBorder="1"/>
    <xf numFmtId="0" fontId="8" fillId="7" borderId="2" xfId="3" applyFont="1" applyFill="1" applyBorder="1"/>
    <xf numFmtId="169" fontId="8" fillId="7" borderId="2" xfId="3" applyNumberFormat="1" applyFont="1" applyFill="1" applyBorder="1" applyAlignment="1">
      <alignment horizontal="right"/>
    </xf>
    <xf numFmtId="0" fontId="7" fillId="2" borderId="1" xfId="3" applyFont="1" applyFill="1" applyBorder="1" applyAlignment="1">
      <alignment horizontal="left" indent="1"/>
    </xf>
    <xf numFmtId="0" fontId="7" fillId="2" borderId="1" xfId="3" applyFont="1" applyFill="1" applyBorder="1"/>
    <xf numFmtId="170" fontId="20" fillId="2" borderId="1" xfId="3" quotePrefix="1" applyNumberFormat="1" applyFont="1" applyFill="1" applyBorder="1" applyAlignment="1">
      <alignment horizontal="right"/>
    </xf>
    <xf numFmtId="170" fontId="20" fillId="2" borderId="1" xfId="3" applyNumberFormat="1" applyFont="1" applyFill="1" applyBorder="1" applyAlignment="1">
      <alignment horizontal="right"/>
    </xf>
    <xf numFmtId="169" fontId="2" fillId="0" borderId="0" xfId="3" applyNumberFormat="1" applyAlignment="1">
      <alignment horizontal="right"/>
    </xf>
    <xf numFmtId="0" fontId="7" fillId="2" borderId="0" xfId="3" applyFont="1" applyFill="1" applyAlignment="1">
      <alignment horizontal="left" indent="1"/>
    </xf>
    <xf numFmtId="0" fontId="7" fillId="2" borderId="0" xfId="3" applyFont="1" applyFill="1"/>
    <xf numFmtId="170" fontId="20" fillId="2" borderId="0" xfId="3" quotePrefix="1" applyNumberFormat="1" applyFont="1" applyFill="1" applyAlignment="1">
      <alignment horizontal="right"/>
    </xf>
    <xf numFmtId="170" fontId="20" fillId="2" borderId="0" xfId="3" applyNumberFormat="1" applyFont="1" applyFill="1" applyAlignment="1">
      <alignment horizontal="right"/>
    </xf>
    <xf numFmtId="0" fontId="7" fillId="0" borderId="1" xfId="3" applyFont="1" applyBorder="1" applyAlignment="1">
      <alignment horizontal="left" indent="1"/>
    </xf>
    <xf numFmtId="0" fontId="7" fillId="0" borderId="1" xfId="3" applyFont="1" applyBorder="1" applyAlignment="1">
      <alignment horizontal="center"/>
    </xf>
    <xf numFmtId="170" fontId="21" fillId="2" borderId="1" xfId="3" quotePrefix="1" applyNumberFormat="1" applyFont="1" applyFill="1" applyBorder="1" applyAlignment="1">
      <alignment horizontal="right"/>
    </xf>
    <xf numFmtId="0" fontId="7" fillId="0" borderId="0" xfId="3" applyFont="1" applyAlignment="1">
      <alignment horizontal="left" indent="1"/>
    </xf>
    <xf numFmtId="0" fontId="7" fillId="0" borderId="0" xfId="3" applyFont="1" applyAlignment="1">
      <alignment horizontal="center"/>
    </xf>
    <xf numFmtId="170" fontId="20" fillId="0" borderId="0" xfId="3" applyNumberFormat="1" applyFont="1" applyAlignment="1">
      <alignment horizontal="right"/>
    </xf>
    <xf numFmtId="170" fontId="21" fillId="2" borderId="0" xfId="3" applyNumberFormat="1" applyFont="1" applyFill="1" applyAlignment="1">
      <alignment horizontal="right"/>
    </xf>
    <xf numFmtId="170" fontId="21" fillId="2" borderId="0" xfId="3" quotePrefix="1" applyNumberFormat="1" applyFont="1" applyFill="1" applyAlignment="1">
      <alignment horizontal="right"/>
    </xf>
    <xf numFmtId="170" fontId="21" fillId="0" borderId="0" xfId="3" quotePrefix="1" applyNumberFormat="1" applyFont="1" applyAlignment="1">
      <alignment horizontal="right"/>
    </xf>
    <xf numFmtId="170" fontId="21" fillId="0" borderId="0" xfId="3" applyNumberFormat="1" applyFont="1" applyAlignment="1">
      <alignment horizontal="right"/>
    </xf>
    <xf numFmtId="170" fontId="22" fillId="0" borderId="0" xfId="3" quotePrefix="1" applyNumberFormat="1" applyFont="1" applyAlignment="1">
      <alignment horizontal="right"/>
    </xf>
    <xf numFmtId="0" fontId="2" fillId="0" borderId="0" xfId="3" applyAlignment="1">
      <alignment horizontal="right"/>
    </xf>
    <xf numFmtId="170" fontId="7" fillId="0" borderId="0" xfId="3" applyNumberFormat="1" applyFont="1" applyAlignment="1">
      <alignment horizontal="right"/>
    </xf>
    <xf numFmtId="170" fontId="16" fillId="0" borderId="0" xfId="3" applyNumberFormat="1" applyFont="1" applyAlignment="1">
      <alignment horizontal="right"/>
    </xf>
    <xf numFmtId="0" fontId="7" fillId="0" borderId="3" xfId="3" applyFont="1" applyBorder="1" applyAlignment="1">
      <alignment horizontal="left" indent="1"/>
    </xf>
    <xf numFmtId="0" fontId="7" fillId="0" borderId="3" xfId="3" applyFont="1" applyBorder="1"/>
    <xf numFmtId="170" fontId="21" fillId="0" borderId="3" xfId="3" applyNumberFormat="1" applyFont="1" applyBorder="1" applyAlignment="1">
      <alignment horizontal="right"/>
    </xf>
    <xf numFmtId="170" fontId="7" fillId="0" borderId="3" xfId="3" applyNumberFormat="1" applyFont="1" applyBorder="1" applyAlignment="1">
      <alignment horizontal="right"/>
    </xf>
    <xf numFmtId="0" fontId="8" fillId="0" borderId="0" xfId="3" applyFont="1" applyAlignment="1">
      <alignment horizontal="right"/>
    </xf>
    <xf numFmtId="169" fontId="8" fillId="0" borderId="0" xfId="3" applyNumberFormat="1" applyFont="1" applyAlignment="1">
      <alignment horizontal="right"/>
    </xf>
    <xf numFmtId="0" fontId="8" fillId="8" borderId="0" xfId="3" applyFont="1" applyFill="1"/>
    <xf numFmtId="169" fontId="8" fillId="8" borderId="0" xfId="3" applyNumberFormat="1" applyFont="1" applyFill="1" applyAlignment="1">
      <alignment horizontal="right"/>
    </xf>
    <xf numFmtId="169" fontId="8" fillId="0" borderId="0" xfId="3" applyNumberFormat="1" applyFont="1"/>
    <xf numFmtId="10" fontId="8" fillId="0" borderId="5" xfId="3" applyNumberFormat="1" applyFont="1" applyBorder="1"/>
    <xf numFmtId="169" fontId="8" fillId="0" borderId="6" xfId="3" applyNumberFormat="1" applyFont="1" applyBorder="1"/>
    <xf numFmtId="169" fontId="23" fillId="0" borderId="0" xfId="3" applyNumberFormat="1" applyFont="1"/>
    <xf numFmtId="10" fontId="24" fillId="0" borderId="3" xfId="3" applyNumberFormat="1" applyFont="1" applyBorder="1" applyAlignment="1">
      <alignment horizontal="centerContinuous"/>
    </xf>
    <xf numFmtId="0" fontId="24" fillId="0" borderId="3" xfId="3" applyFont="1" applyBorder="1" applyAlignment="1">
      <alignment horizontal="centerContinuous"/>
    </xf>
    <xf numFmtId="10" fontId="23" fillId="0" borderId="0" xfId="3" applyNumberFormat="1" applyFont="1"/>
    <xf numFmtId="0" fontId="25" fillId="0" borderId="7" xfId="3" applyFont="1" applyBorder="1" applyAlignment="1">
      <alignment horizontal="right" vertical="center" textRotation="90" wrapText="1"/>
    </xf>
    <xf numFmtId="169" fontId="8" fillId="0" borderId="8" xfId="3" applyNumberFormat="1" applyFont="1" applyBorder="1" applyAlignment="1">
      <alignment horizontal="right"/>
    </xf>
    <xf numFmtId="169" fontId="8" fillId="0" borderId="2" xfId="3" applyNumberFormat="1" applyFont="1" applyBorder="1" applyAlignment="1">
      <alignment horizontal="right"/>
    </xf>
    <xf numFmtId="169" fontId="8" fillId="0" borderId="9" xfId="3" applyNumberFormat="1" applyFont="1" applyBorder="1" applyAlignment="1">
      <alignment horizontal="right"/>
    </xf>
    <xf numFmtId="169" fontId="8" fillId="0" borderId="10" xfId="3" applyNumberFormat="1" applyFont="1" applyBorder="1" applyAlignment="1">
      <alignment horizontal="right"/>
    </xf>
    <xf numFmtId="169" fontId="8" fillId="0" borderId="11" xfId="3" applyNumberFormat="1" applyFont="1" applyBorder="1" applyAlignment="1">
      <alignment horizontal="right"/>
    </xf>
    <xf numFmtId="169" fontId="8" fillId="0" borderId="12" xfId="3" applyNumberFormat="1" applyFont="1" applyBorder="1" applyAlignment="1">
      <alignment horizontal="right"/>
    </xf>
    <xf numFmtId="169" fontId="8" fillId="0" borderId="1" xfId="3" applyNumberFormat="1" applyFont="1" applyBorder="1" applyAlignment="1">
      <alignment horizontal="right"/>
    </xf>
    <xf numFmtId="169" fontId="8" fillId="0" borderId="13" xfId="3" applyNumberFormat="1" applyFont="1" applyBorder="1" applyAlignment="1">
      <alignment horizontal="right"/>
    </xf>
    <xf numFmtId="10" fontId="24" fillId="0" borderId="0" xfId="3" applyNumberFormat="1" applyFont="1" applyAlignment="1">
      <alignment horizontal="centerContinuous"/>
    </xf>
    <xf numFmtId="0" fontId="24" fillId="0" borderId="0" xfId="3" applyFont="1" applyAlignment="1">
      <alignment horizontal="centerContinuous"/>
    </xf>
    <xf numFmtId="0" fontId="26" fillId="0" borderId="0" xfId="3" applyFont="1" applyAlignment="1">
      <alignment horizontal="right" vertical="center" textRotation="90" wrapText="1"/>
    </xf>
    <xf numFmtId="9" fontId="8" fillId="0" borderId="0" xfId="3" applyNumberFormat="1" applyFont="1"/>
    <xf numFmtId="171" fontId="8" fillId="0" borderId="0" xfId="3" applyNumberFormat="1" applyFont="1"/>
    <xf numFmtId="0" fontId="26" fillId="0" borderId="0" xfId="3" applyFont="1" applyAlignment="1">
      <alignment horizontal="right" vertical="center" textRotation="90" wrapText="1"/>
    </xf>
    <xf numFmtId="171" fontId="8" fillId="2" borderId="0" xfId="3" applyNumberFormat="1" applyFont="1" applyFill="1"/>
    <xf numFmtId="10" fontId="27" fillId="0" borderId="0" xfId="3" applyNumberFormat="1" applyFont="1" applyAlignment="1">
      <alignment horizontal="centerContinuous"/>
    </xf>
    <xf numFmtId="0" fontId="27" fillId="0" borderId="0" xfId="3" applyFont="1" applyAlignment="1">
      <alignment horizontal="centerContinuous"/>
    </xf>
    <xf numFmtId="0" fontId="15" fillId="2" borderId="0" xfId="3" applyFont="1" applyFill="1"/>
    <xf numFmtId="168" fontId="15" fillId="2" borderId="0" xfId="3" applyNumberFormat="1" applyFont="1" applyFill="1"/>
    <xf numFmtId="0" fontId="8" fillId="2" borderId="0" xfId="3" applyFont="1" applyFill="1" applyAlignment="1">
      <alignment horizontal="left"/>
    </xf>
    <xf numFmtId="168" fontId="8" fillId="2" borderId="0" xfId="3" applyNumberFormat="1" applyFont="1" applyFill="1"/>
    <xf numFmtId="168" fontId="15" fillId="2" borderId="3" xfId="3" applyNumberFormat="1" applyFont="1" applyFill="1" applyBorder="1"/>
    <xf numFmtId="166" fontId="15" fillId="2" borderId="0" xfId="5" applyNumberFormat="1" applyFont="1" applyFill="1" applyBorder="1"/>
    <xf numFmtId="0" fontId="28" fillId="0" borderId="0" xfId="3" applyFont="1"/>
    <xf numFmtId="3" fontId="29" fillId="0" borderId="0" xfId="3" applyNumberFormat="1" applyFont="1"/>
    <xf numFmtId="6" fontId="7" fillId="0" borderId="0" xfId="3" applyNumberFormat="1" applyFont="1"/>
    <xf numFmtId="168" fontId="21" fillId="0" borderId="0" xfId="3" applyNumberFormat="1" applyFont="1" applyAlignment="1">
      <alignment horizontal="center"/>
    </xf>
    <xf numFmtId="0" fontId="17" fillId="0" borderId="14" xfId="3" applyFont="1" applyBorder="1"/>
    <xf numFmtId="8" fontId="29" fillId="2" borderId="14" xfId="3" applyNumberFormat="1" applyFont="1" applyFill="1" applyBorder="1"/>
    <xf numFmtId="0" fontId="7" fillId="2" borderId="14" xfId="3" applyFont="1" applyFill="1" applyBorder="1"/>
    <xf numFmtId="6" fontId="30" fillId="2" borderId="14" xfId="3" applyNumberFormat="1" applyFont="1" applyFill="1" applyBorder="1" applyAlignment="1">
      <alignment horizontal="center"/>
    </xf>
    <xf numFmtId="170" fontId="20" fillId="0" borderId="14" xfId="3" applyNumberFormat="1" applyFont="1" applyBorder="1" applyAlignment="1">
      <alignment horizontal="center"/>
    </xf>
    <xf numFmtId="0" fontId="17" fillId="0" borderId="0" xfId="3" applyFont="1"/>
    <xf numFmtId="9" fontId="29" fillId="0" borderId="0" xfId="4" applyFont="1" applyBorder="1"/>
    <xf numFmtId="168" fontId="29" fillId="0" borderId="0" xfId="3" applyNumberFormat="1" applyFont="1" applyAlignment="1">
      <alignment horizontal="center"/>
    </xf>
    <xf numFmtId="168" fontId="31" fillId="0" borderId="0" xfId="3" applyNumberFormat="1" applyFont="1" applyAlignment="1">
      <alignment horizontal="center"/>
    </xf>
    <xf numFmtId="9" fontId="17" fillId="0" borderId="0" xfId="4" applyFont="1" applyBorder="1"/>
    <xf numFmtId="0" fontId="32" fillId="0" borderId="0" xfId="3" applyFont="1"/>
    <xf numFmtId="0" fontId="17" fillId="0" borderId="0" xfId="3" applyFont="1" applyAlignment="1">
      <alignment horizontal="center"/>
    </xf>
    <xf numFmtId="0" fontId="29" fillId="0" borderId="14" xfId="3" applyFont="1" applyBorder="1" applyAlignment="1">
      <alignment horizontal="left"/>
    </xf>
    <xf numFmtId="165" fontId="29" fillId="0" borderId="14" xfId="5" applyNumberFormat="1" applyFont="1" applyBorder="1" applyAlignment="1">
      <alignment horizontal="center"/>
    </xf>
    <xf numFmtId="0" fontId="17" fillId="0" borderId="15" xfId="3" applyFont="1" applyBorder="1"/>
    <xf numFmtId="168" fontId="17" fillId="0" borderId="0" xfId="5" applyNumberFormat="1" applyFont="1" applyFill="1" applyBorder="1" applyAlignment="1">
      <alignment horizontal="center"/>
    </xf>
    <xf numFmtId="0" fontId="34" fillId="0" borderId="0" xfId="6" applyFont="1" applyAlignment="1">
      <alignment horizontal="center"/>
    </xf>
    <xf numFmtId="0" fontId="29" fillId="0" borderId="0" xfId="3" applyFont="1"/>
    <xf numFmtId="0" fontId="29" fillId="2" borderId="0" xfId="3" applyFont="1" applyFill="1" applyAlignment="1">
      <alignment horizontal="center"/>
    </xf>
    <xf numFmtId="0" fontId="29" fillId="0" borderId="14" xfId="3" applyFont="1" applyBorder="1"/>
    <xf numFmtId="168" fontId="29" fillId="0" borderId="14" xfId="3" applyNumberFormat="1" applyFont="1" applyBorder="1" applyAlignment="1">
      <alignment horizontal="center"/>
    </xf>
    <xf numFmtId="165" fontId="17" fillId="0" borderId="0" xfId="3" applyNumberFormat="1" applyFont="1" applyAlignment="1">
      <alignment horizontal="center"/>
    </xf>
    <xf numFmtId="166" fontId="2" fillId="0" borderId="0" xfId="3" applyNumberFormat="1"/>
    <xf numFmtId="0" fontId="17" fillId="0" borderId="0" xfId="3" applyFont="1" applyAlignment="1">
      <alignment horizontal="center"/>
    </xf>
    <xf numFmtId="168" fontId="17" fillId="0" borderId="0" xfId="1" applyNumberFormat="1" applyFont="1" applyAlignment="1">
      <alignment horizontal="center"/>
    </xf>
    <xf numFmtId="168" fontId="17" fillId="0" borderId="0" xfId="3" applyNumberFormat="1" applyFont="1" applyAlignment="1">
      <alignment horizontal="center"/>
    </xf>
    <xf numFmtId="169" fontId="2" fillId="0" borderId="0" xfId="3" applyNumberFormat="1"/>
    <xf numFmtId="0" fontId="17" fillId="0" borderId="0" xfId="3" applyFont="1" applyAlignment="1">
      <alignment horizontal="right"/>
    </xf>
    <xf numFmtId="168" fontId="34" fillId="0" borderId="0" xfId="3" applyNumberFormat="1" applyFont="1" applyAlignment="1">
      <alignment horizontal="center"/>
    </xf>
    <xf numFmtId="167" fontId="17" fillId="0" borderId="0" xfId="2" applyNumberFormat="1" applyFont="1" applyBorder="1" applyAlignment="1">
      <alignment horizontal="center"/>
    </xf>
    <xf numFmtId="168" fontId="17" fillId="0" borderId="0" xfId="1" applyNumberFormat="1" applyFont="1" applyBorder="1" applyAlignment="1">
      <alignment horizontal="center"/>
    </xf>
    <xf numFmtId="170" fontId="17" fillId="0" borderId="0" xfId="3" applyNumberFormat="1" applyFont="1" applyAlignment="1">
      <alignment horizontal="right"/>
    </xf>
    <xf numFmtId="167" fontId="17" fillId="0" borderId="0" xfId="2" applyNumberFormat="1" applyFont="1" applyAlignment="1">
      <alignment horizontal="center"/>
    </xf>
    <xf numFmtId="0" fontId="35" fillId="0" borderId="0" xfId="3" applyFont="1" applyAlignment="1">
      <alignment horizontal="center"/>
    </xf>
    <xf numFmtId="168" fontId="36" fillId="0" borderId="0" xfId="3" applyNumberFormat="1" applyFont="1" applyAlignment="1">
      <alignment horizontal="center"/>
    </xf>
    <xf numFmtId="167" fontId="17" fillId="0" borderId="0" xfId="3" applyNumberFormat="1" applyFont="1" applyAlignment="1">
      <alignment horizontal="right"/>
    </xf>
    <xf numFmtId="0" fontId="37" fillId="0" borderId="0" xfId="3" applyFont="1"/>
    <xf numFmtId="0" fontId="38" fillId="0" borderId="0" xfId="3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</cellXfs>
  <cellStyles count="7">
    <cellStyle name="Currency" xfId="1" builtinId="4"/>
    <cellStyle name="Currency 2 2" xfId="5" xr:uid="{188D18CB-BA21-46F1-8335-FE7C183E7290}"/>
    <cellStyle name="Hyperlink" xfId="6" builtinId="8"/>
    <cellStyle name="Normal" xfId="0" builtinId="0"/>
    <cellStyle name="Normal 2 2" xfId="3" xr:uid="{65504985-9EA5-416E-BC9C-7AC31CE96683}"/>
    <cellStyle name="Percent" xfId="2" builtinId="5"/>
    <cellStyle name="Percent 2 2" xfId="4" xr:uid="{CB31E327-4581-432E-BBCA-E84EA9D7FAB1}"/>
  </cellStyles>
  <dxfs count="19">
    <dxf>
      <font>
        <b/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5" formatCode="0.0"/>
      <alignment horizontal="center" vertical="bottom" textRotation="0" wrapText="0" indent="0" justifyLastLine="0" shrinkToFit="0" readingOrder="0"/>
    </dxf>
    <dxf>
      <numFmt numFmtId="165" formatCode="0.0"/>
    </dxf>
    <dxf>
      <font>
        <b/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8" formatCode="&quot;$&quot;#,##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&quot;$&quot;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8" formatCode="&quot;$&quot;#,##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8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8" formatCode="&quot;$&quot;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8" formatCode="&quot;$&quot;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8" formatCode="&quot;$&quot;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Terminal Value Comparison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38561123584767"/>
          <c:y val="0.1223088723232036"/>
          <c:w val="0.76100872556126276"/>
          <c:h val="0.59004345769907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DIS!$E$128:$F$128</c:f>
              <c:strCache>
                <c:ptCount val="2"/>
                <c:pt idx="0">
                  <c:v>Discount Rate</c:v>
                </c:pt>
                <c:pt idx="1">
                  <c:v>8.60%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DIS!$G$126:$I$127</c:f>
              <c:multiLvlStrCache>
                <c:ptCount val="3"/>
                <c:lvl>
                  <c:pt idx="0">
                    <c:v>2.50%</c:v>
                  </c:pt>
                  <c:pt idx="1">
                    <c:v>2.75%</c:v>
                  </c:pt>
                  <c:pt idx="2">
                    <c:v>3.00%</c:v>
                  </c:pt>
                </c:lvl>
                <c:lvl>
                  <c:pt idx="0">
                    <c:v>Perpetual Growth Rate</c:v>
                  </c:pt>
                </c:lvl>
              </c:multiLvlStrCache>
            </c:multiLvlStrRef>
          </c:cat>
          <c:val>
            <c:numRef>
              <c:f>DIS!$G$128:$I$128</c:f>
              <c:numCache>
                <c:formatCode>#,##0.0_);\(#,##0.0\)</c:formatCode>
                <c:ptCount val="3"/>
                <c:pt idx="0">
                  <c:v>234185.79454201035</c:v>
                </c:pt>
                <c:pt idx="1">
                  <c:v>355294.97598334478</c:v>
                </c:pt>
                <c:pt idx="2">
                  <c:v>485404.64544557064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0-4411-96DF-B1D74E791E4D}"/>
            </c:ext>
          </c:extLst>
        </c:ser>
        <c:ser>
          <c:idx val="1"/>
          <c:order val="1"/>
          <c:tx>
            <c:strRef>
              <c:f>DIS!$E$129:$F$129</c:f>
              <c:strCache>
                <c:ptCount val="2"/>
                <c:pt idx="0">
                  <c:v>Discount Rate</c:v>
                </c:pt>
                <c:pt idx="1">
                  <c:v>8.85%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DIS!$G$126:$I$127</c:f>
              <c:multiLvlStrCache>
                <c:ptCount val="3"/>
                <c:lvl>
                  <c:pt idx="0">
                    <c:v>2.50%</c:v>
                  </c:pt>
                  <c:pt idx="1">
                    <c:v>2.75%</c:v>
                  </c:pt>
                  <c:pt idx="2">
                    <c:v>3.00%</c:v>
                  </c:pt>
                </c:lvl>
                <c:lvl>
                  <c:pt idx="0">
                    <c:v>Perpetual Growth Rate</c:v>
                  </c:pt>
                </c:lvl>
              </c:multiLvlStrCache>
            </c:multiLvlStrRef>
          </c:cat>
          <c:val>
            <c:numRef>
              <c:f>DIS!$G$129:$I$129</c:f>
              <c:numCache>
                <c:formatCode>#,##0.0_);\(#,##0.0\)</c:formatCode>
                <c:ptCount val="3"/>
                <c:pt idx="0">
                  <c:v>224970.96964603424</c:v>
                </c:pt>
                <c:pt idx="1">
                  <c:v>340742.0716897028</c:v>
                </c:pt>
                <c:pt idx="2">
                  <c:v>464673.28311678988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0-4411-96DF-B1D74E791E4D}"/>
            </c:ext>
          </c:extLst>
        </c:ser>
        <c:ser>
          <c:idx val="2"/>
          <c:order val="2"/>
          <c:tx>
            <c:strRef>
              <c:f>DIS!$E$130:$F$130</c:f>
              <c:strCache>
                <c:ptCount val="2"/>
                <c:pt idx="0">
                  <c:v>Discount Rate</c:v>
                </c:pt>
                <c:pt idx="1">
                  <c:v>9.10%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DIS!$G$126:$I$127</c:f>
              <c:multiLvlStrCache>
                <c:ptCount val="3"/>
                <c:lvl>
                  <c:pt idx="0">
                    <c:v>2.50%</c:v>
                  </c:pt>
                  <c:pt idx="1">
                    <c:v>2.75%</c:v>
                  </c:pt>
                  <c:pt idx="2">
                    <c:v>3.00%</c:v>
                  </c:pt>
                </c:lvl>
                <c:lvl>
                  <c:pt idx="0">
                    <c:v>Perpetual Growth Rate</c:v>
                  </c:pt>
                </c:lvl>
              </c:multiLvlStrCache>
            </c:multiLvlStrRef>
          </c:cat>
          <c:val>
            <c:numRef>
              <c:f>DIS!$G$130:$I$130</c:f>
              <c:numCache>
                <c:formatCode>#,##0.0_);\(#,##0.0\)</c:formatCode>
                <c:ptCount val="3"/>
                <c:pt idx="0">
                  <c:v>216453.86686810007</c:v>
                </c:pt>
                <c:pt idx="1">
                  <c:v>327334.43297509447</c:v>
                </c:pt>
                <c:pt idx="2">
                  <c:v>445640.23656639893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60-4411-96DF-B1D74E791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38562608"/>
        <c:axId val="1"/>
      </c:barChart>
      <c:catAx>
        <c:axId val="103856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\(#,##0.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856260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15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15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15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0.18794089007041778"/>
          <c:y val="0.87601752006695721"/>
          <c:w val="0.67171466265908575"/>
          <c:h val="8.70740306090650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PV of Terminal Value Comparison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4899509755368"/>
          <c:y val="0.13429512819418379"/>
          <c:w val="0.7688275730268731"/>
          <c:h val="0.59280058269457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DIS!$K$128:$L$128</c:f>
              <c:strCache>
                <c:ptCount val="2"/>
                <c:pt idx="0">
                  <c:v>Discount Rate</c:v>
                </c:pt>
                <c:pt idx="1">
                  <c:v>8.60%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DIS!$M$126:$O$127</c:f>
              <c:multiLvlStrCache>
                <c:ptCount val="3"/>
                <c:lvl>
                  <c:pt idx="0">
                    <c:v>2.50%</c:v>
                  </c:pt>
                  <c:pt idx="1">
                    <c:v>2.75%</c:v>
                  </c:pt>
                  <c:pt idx="2">
                    <c:v>3.00%</c:v>
                  </c:pt>
                </c:lvl>
                <c:lvl>
                  <c:pt idx="0">
                    <c:v>Perpetual Growth Rate</c:v>
                  </c:pt>
                </c:lvl>
              </c:multiLvlStrCache>
            </c:multiLvlStrRef>
          </c:cat>
          <c:val>
            <c:numRef>
              <c:f>DIS!$M$128:$O$128</c:f>
              <c:numCache>
                <c:formatCode>#,##0.0_);\(#,##0.0\)</c:formatCode>
                <c:ptCount val="3"/>
                <c:pt idx="0">
                  <c:v>102576.62958876757</c:v>
                </c:pt>
                <c:pt idx="1">
                  <c:v>155624.13261431106</c:v>
                </c:pt>
                <c:pt idx="2">
                  <c:v>212613.97436130722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6-4A66-BFE1-F772938D3CBC}"/>
            </c:ext>
          </c:extLst>
        </c:ser>
        <c:ser>
          <c:idx val="1"/>
          <c:order val="1"/>
          <c:tx>
            <c:strRef>
              <c:f>DIS!$K$129:$L$129</c:f>
              <c:strCache>
                <c:ptCount val="2"/>
                <c:pt idx="0">
                  <c:v>Discount Rate</c:v>
                </c:pt>
                <c:pt idx="1">
                  <c:v>8.85%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DIS!$M$126:$O$127</c:f>
              <c:multiLvlStrCache>
                <c:ptCount val="3"/>
                <c:lvl>
                  <c:pt idx="0">
                    <c:v>2.50%</c:v>
                  </c:pt>
                  <c:pt idx="1">
                    <c:v>2.75%</c:v>
                  </c:pt>
                  <c:pt idx="2">
                    <c:v>3.00%</c:v>
                  </c:pt>
                </c:lvl>
                <c:lvl>
                  <c:pt idx="0">
                    <c:v>Perpetual Growth Rate</c:v>
                  </c:pt>
                </c:lvl>
              </c:multiLvlStrCache>
            </c:multiLvlStrRef>
          </c:cat>
          <c:val>
            <c:numRef>
              <c:f>DIS!$M$129:$O$129</c:f>
              <c:numCache>
                <c:formatCode>#,##0.0_);\(#,##0.0\)</c:formatCode>
                <c:ptCount val="3"/>
                <c:pt idx="0">
                  <c:v>96300.057521881376</c:v>
                </c:pt>
                <c:pt idx="1">
                  <c:v>145856.51275571962</c:v>
                </c:pt>
                <c:pt idx="2">
                  <c:v>198905.94756929853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76-4A66-BFE1-F772938D3CBC}"/>
            </c:ext>
          </c:extLst>
        </c:ser>
        <c:ser>
          <c:idx val="2"/>
          <c:order val="2"/>
          <c:tx>
            <c:strRef>
              <c:f>DIS!$K$130:$L$130</c:f>
              <c:strCache>
                <c:ptCount val="2"/>
                <c:pt idx="0">
                  <c:v>Discount Rate</c:v>
                </c:pt>
                <c:pt idx="1">
                  <c:v>9.10%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DIS!$M$126:$O$127</c:f>
              <c:multiLvlStrCache>
                <c:ptCount val="3"/>
                <c:lvl>
                  <c:pt idx="0">
                    <c:v>2.50%</c:v>
                  </c:pt>
                  <c:pt idx="1">
                    <c:v>2.75%</c:v>
                  </c:pt>
                  <c:pt idx="2">
                    <c:v>3.00%</c:v>
                  </c:pt>
                </c:lvl>
                <c:lvl>
                  <c:pt idx="0">
                    <c:v>Perpetual Growth Rate</c:v>
                  </c:pt>
                </c:lvl>
              </c:multiLvlStrCache>
            </c:multiLvlStrRef>
          </c:cat>
          <c:val>
            <c:numRef>
              <c:f>DIS!$M$130:$O$130</c:f>
              <c:numCache>
                <c:formatCode>#,##0.0_);\(#,##0.0\)</c:formatCode>
                <c:ptCount val="3"/>
                <c:pt idx="0">
                  <c:v>90552.514894906402</c:v>
                </c:pt>
                <c:pt idx="1">
                  <c:v>136938.90779810006</c:v>
                </c:pt>
                <c:pt idx="2">
                  <c:v>186431.61586038454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76-4A66-BFE1-F772938D3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38560528"/>
        <c:axId val="1"/>
      </c:barChart>
      <c:catAx>
        <c:axId val="103856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\(#,##0.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856052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15082002433799141"/>
          <c:y val="0.87304505368608953"/>
          <c:w val="0.75681759960595685"/>
          <c:h val="8.73045053686089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r>
              <a:rPr lang="en-US"/>
              <a:t>Free Cash Flow Generation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numRef>
              <c:f>DIS!$E$45:$O$45</c:f>
              <c:numCache>
                <c:formatCode>m/d/yyyy</c:formatCode>
                <c:ptCount val="11"/>
                <c:pt idx="0">
                  <c:v>44836</c:v>
                </c:pt>
                <c:pt idx="1">
                  <c:v>45201.5</c:v>
                </c:pt>
                <c:pt idx="2">
                  <c:v>45566.75</c:v>
                </c:pt>
                <c:pt idx="3">
                  <c:v>45931.75</c:v>
                </c:pt>
                <c:pt idx="4">
                  <c:v>46297</c:v>
                </c:pt>
                <c:pt idx="5">
                  <c:v>46662.25</c:v>
                </c:pt>
                <c:pt idx="6">
                  <c:v>47027.5</c:v>
                </c:pt>
                <c:pt idx="7">
                  <c:v>47392.75</c:v>
                </c:pt>
                <c:pt idx="8">
                  <c:v>47758</c:v>
                </c:pt>
                <c:pt idx="9">
                  <c:v>48123.25</c:v>
                </c:pt>
                <c:pt idx="10">
                  <c:v>48488.5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74-40F7-BC1B-86A411DDA077}"/>
            </c:ext>
          </c:extLst>
        </c:ser>
        <c:ser>
          <c:idx val="2"/>
          <c:order val="1"/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numRef>
              <c:f>DIS!$E$45:$O$45</c:f>
              <c:numCache>
                <c:formatCode>m/d/yyyy</c:formatCode>
                <c:ptCount val="11"/>
                <c:pt idx="0">
                  <c:v>44836</c:v>
                </c:pt>
                <c:pt idx="1">
                  <c:v>45201.5</c:v>
                </c:pt>
                <c:pt idx="2">
                  <c:v>45566.75</c:v>
                </c:pt>
                <c:pt idx="3">
                  <c:v>45931.75</c:v>
                </c:pt>
                <c:pt idx="4">
                  <c:v>46297</c:v>
                </c:pt>
                <c:pt idx="5">
                  <c:v>46662.25</c:v>
                </c:pt>
                <c:pt idx="6">
                  <c:v>47027.5</c:v>
                </c:pt>
                <c:pt idx="7">
                  <c:v>47392.75</c:v>
                </c:pt>
                <c:pt idx="8">
                  <c:v>47758</c:v>
                </c:pt>
                <c:pt idx="9">
                  <c:v>48123.25</c:v>
                </c:pt>
                <c:pt idx="10">
                  <c:v>48488.5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74-40F7-BC1B-86A411DDA077}"/>
            </c:ext>
          </c:extLst>
        </c:ser>
        <c:ser>
          <c:idx val="3"/>
          <c:order val="2"/>
          <c:tx>
            <c:strRef>
              <c:f>DIS!$A$85</c:f>
              <c:strCache>
                <c:ptCount val="1"/>
                <c:pt idx="0">
                  <c:v>Free Cash Flow 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DIS!$E$45:$O$45</c:f>
              <c:numCache>
                <c:formatCode>m/d/yyyy</c:formatCode>
                <c:ptCount val="11"/>
                <c:pt idx="0">
                  <c:v>44836</c:v>
                </c:pt>
                <c:pt idx="1">
                  <c:v>45201.5</c:v>
                </c:pt>
                <c:pt idx="2">
                  <c:v>45566.75</c:v>
                </c:pt>
                <c:pt idx="3">
                  <c:v>45931.75</c:v>
                </c:pt>
                <c:pt idx="4">
                  <c:v>46297</c:v>
                </c:pt>
                <c:pt idx="5">
                  <c:v>46662.25</c:v>
                </c:pt>
                <c:pt idx="6">
                  <c:v>47027.5</c:v>
                </c:pt>
                <c:pt idx="7">
                  <c:v>47392.75</c:v>
                </c:pt>
                <c:pt idx="8">
                  <c:v>47758</c:v>
                </c:pt>
                <c:pt idx="9">
                  <c:v>48123.25</c:v>
                </c:pt>
                <c:pt idx="10">
                  <c:v>48488.5</c:v>
                </c:pt>
              </c:numCache>
            </c:numRef>
          </c:cat>
          <c:val>
            <c:numRef>
              <c:f>DIS!$E$85:$O$85</c:f>
              <c:numCache>
                <c:formatCode>#,##0.0_);\(#,##0.0\)</c:formatCode>
                <c:ptCount val="11"/>
                <c:pt idx="0">
                  <c:v>1155.371577828002</c:v>
                </c:pt>
                <c:pt idx="1">
                  <c:v>4642.6979483169989</c:v>
                </c:pt>
                <c:pt idx="2">
                  <c:v>7684.6364802591033</c:v>
                </c:pt>
                <c:pt idx="3">
                  <c:v>10467.245473993831</c:v>
                </c:pt>
                <c:pt idx="4">
                  <c:v>12239.619223323327</c:v>
                </c:pt>
                <c:pt idx="5">
                  <c:v>13922.78993378915</c:v>
                </c:pt>
                <c:pt idx="6">
                  <c:v>14638.238782522872</c:v>
                </c:pt>
                <c:pt idx="7">
                  <c:v>15813.749224517931</c:v>
                </c:pt>
                <c:pt idx="8">
                  <c:v>17050.534893146803</c:v>
                </c:pt>
                <c:pt idx="9">
                  <c:v>18363.81179854794</c:v>
                </c:pt>
                <c:pt idx="10">
                  <c:v>20240.597602178848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74-40F7-BC1B-86A411DDA077}"/>
            </c:ext>
          </c:extLst>
        </c:ser>
        <c:ser>
          <c:idx val="4"/>
          <c:order val="3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DIS!$E$45:$O$45</c:f>
              <c:numCache>
                <c:formatCode>m/d/yyyy</c:formatCode>
                <c:ptCount val="11"/>
                <c:pt idx="0">
                  <c:v>44836</c:v>
                </c:pt>
                <c:pt idx="1">
                  <c:v>45201.5</c:v>
                </c:pt>
                <c:pt idx="2">
                  <c:v>45566.75</c:v>
                </c:pt>
                <c:pt idx="3">
                  <c:v>45931.75</c:v>
                </c:pt>
                <c:pt idx="4">
                  <c:v>46297</c:v>
                </c:pt>
                <c:pt idx="5">
                  <c:v>46662.25</c:v>
                </c:pt>
                <c:pt idx="6">
                  <c:v>47027.5</c:v>
                </c:pt>
                <c:pt idx="7">
                  <c:v>47392.75</c:v>
                </c:pt>
                <c:pt idx="8">
                  <c:v>47758</c:v>
                </c:pt>
                <c:pt idx="9">
                  <c:v>48123.25</c:v>
                </c:pt>
                <c:pt idx="10">
                  <c:v>48488.5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374-40F7-BC1B-86A411DDA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55500864"/>
        <c:axId val="1"/>
      </c:barChart>
      <c:dateAx>
        <c:axId val="105550086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Millions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550086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solidFill>
            <a:schemeClr val="dk1">
              <a:lumMod val="15000"/>
              <a:lumOff val="85000"/>
            </a:schemeClr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77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4.4378801392903552E-2"/>
          <c:y val="5.7222573698611549E-2"/>
          <c:w val="6.7214495313523831E-2"/>
          <c:h val="7.902164939332070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3401786</xdr:colOff>
      <xdr:row>131</xdr:row>
      <xdr:rowOff>54429</xdr:rowOff>
    </xdr:from>
    <xdr:to>
      <xdr:col>6</xdr:col>
      <xdr:colOff>231321</xdr:colOff>
      <xdr:row>153</xdr:row>
      <xdr:rowOff>122466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F5E1FAD-E096-498A-B279-D6D5531D9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802821</xdr:colOff>
      <xdr:row>131</xdr:row>
      <xdr:rowOff>40821</xdr:rowOff>
    </xdr:from>
    <xdr:to>
      <xdr:col>13</xdr:col>
      <xdr:colOff>734785</xdr:colOff>
      <xdr:row>153</xdr:row>
      <xdr:rowOff>108858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19D613E9-EEC2-4D61-8BF2-EC53190FA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89</xdr:row>
      <xdr:rowOff>9525</xdr:rowOff>
    </xdr:from>
    <xdr:to>
      <xdr:col>15</xdr:col>
      <xdr:colOff>238125</xdr:colOff>
      <xdr:row>104</xdr:row>
      <xdr:rowOff>190500</xdr:rowOff>
    </xdr:to>
    <xdr:graphicFrame macro="">
      <xdr:nvGraphicFramePr>
        <xdr:cNvPr id="4" name="Chart 12">
          <a:extLst>
            <a:ext uri="{FF2B5EF4-FFF2-40B4-BE49-F238E27FC236}">
              <a16:creationId xmlns:a16="http://schemas.microsoft.com/office/drawing/2014/main" id="{148AB171-B6E4-42A8-A232-985D2BDCD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700948</xdr:colOff>
      <xdr:row>19</xdr:row>
      <xdr:rowOff>136072</xdr:rowOff>
    </xdr:from>
    <xdr:ext cx="3572764" cy="1741714"/>
    <xdr:pic>
      <xdr:nvPicPr>
        <xdr:cNvPr id="5" name="Picture 4" descr="Disney Logo | Disney logo, Disney sticker, Popular logos">
          <a:extLst>
            <a:ext uri="{FF2B5EF4-FFF2-40B4-BE49-F238E27FC236}">
              <a16:creationId xmlns:a16="http://schemas.microsoft.com/office/drawing/2014/main" id="{267A18C9-AE6F-498B-9FEC-3FEEE4C3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948" y="4098472"/>
          <a:ext cx="3572764" cy="1741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187</xdr:row>
      <xdr:rowOff>0</xdr:rowOff>
    </xdr:from>
    <xdr:to>
      <xdr:col>4</xdr:col>
      <xdr:colOff>57565</xdr:colOff>
      <xdr:row>193</xdr:row>
      <xdr:rowOff>27215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1E64EA5-8A2F-4C33-A27C-69C9969D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5785425"/>
          <a:ext cx="8296690" cy="1665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1</xdr:rowOff>
    </xdr:from>
    <xdr:to>
      <xdr:col>4</xdr:col>
      <xdr:colOff>149678</xdr:colOff>
      <xdr:row>202</xdr:row>
      <xdr:rowOff>17756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D06F8F6-B913-4E08-BDD9-E0940FDC3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8157151"/>
          <a:ext cx="8388803" cy="1532230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1238249</xdr:colOff>
      <xdr:row>169</xdr:row>
      <xdr:rowOff>149679</xdr:rowOff>
    </xdr:from>
    <xdr:to>
      <xdr:col>12</xdr:col>
      <xdr:colOff>306025</xdr:colOff>
      <xdr:row>192</xdr:row>
      <xdr:rowOff>220989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F122E5F-377B-4124-997B-66CFE71BB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391899" y="33449079"/>
          <a:ext cx="8773751" cy="39003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nib\OneDrive\Documents\CUBE%20Watchlist.xlsx" TargetMode="External"/><Relationship Id="rId1" Type="http://schemas.openxmlformats.org/officeDocument/2006/relationships/externalLinkPath" Target="/Users/lanib/OneDrive/Documents/CUBE%20Watch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"/>
      <sheetName val="TSLA"/>
      <sheetName val="NARI"/>
      <sheetName val="U"/>
      <sheetName val="AMD"/>
      <sheetName val="DE"/>
      <sheetName val="ENPH"/>
      <sheetName val="BWXT"/>
      <sheetName val="DDOG"/>
      <sheetName val="PLTR"/>
      <sheetName val="AYX"/>
      <sheetName val="CRWD"/>
    </sheetNames>
    <sheetDataSet>
      <sheetData sheetId="0">
        <row r="45">
          <cell r="E45">
            <v>44836</v>
          </cell>
          <cell r="F45">
            <v>45201.5</v>
          </cell>
          <cell r="G45">
            <v>45566.75</v>
          </cell>
          <cell r="H45">
            <v>45931.75</v>
          </cell>
          <cell r="I45">
            <v>46297</v>
          </cell>
          <cell r="J45">
            <v>46662.25</v>
          </cell>
          <cell r="K45">
            <v>47027.5</v>
          </cell>
          <cell r="L45">
            <v>47392.75</v>
          </cell>
          <cell r="M45">
            <v>47758</v>
          </cell>
          <cell r="N45">
            <v>48123.25</v>
          </cell>
          <cell r="O45">
            <v>48488.5</v>
          </cell>
        </row>
        <row r="85">
          <cell r="A85" t="str">
            <v xml:space="preserve">Free Cash Flow </v>
          </cell>
          <cell r="E85">
            <v>1155.371577828002</v>
          </cell>
          <cell r="F85">
            <v>4642.6979483169989</v>
          </cell>
          <cell r="G85">
            <v>7684.6364802591033</v>
          </cell>
          <cell r="H85">
            <v>10467.245473993831</v>
          </cell>
          <cell r="I85">
            <v>12239.619223323327</v>
          </cell>
          <cell r="J85">
            <v>13922.78993378915</v>
          </cell>
          <cell r="K85">
            <v>14638.238782522872</v>
          </cell>
          <cell r="L85">
            <v>15813.749224517931</v>
          </cell>
          <cell r="M85">
            <v>17050.534893146803</v>
          </cell>
          <cell r="N85">
            <v>18363.81179854794</v>
          </cell>
          <cell r="O85">
            <v>20240.597602178848</v>
          </cell>
        </row>
        <row r="126">
          <cell r="G126" t="str">
            <v>Perpetual Growth Rate</v>
          </cell>
          <cell r="M126" t="str">
            <v>Perpetual Growth Rate</v>
          </cell>
        </row>
        <row r="127">
          <cell r="G127">
            <v>2.5000000000000001E-2</v>
          </cell>
          <cell r="H127">
            <v>2.75E-2</v>
          </cell>
          <cell r="I127">
            <v>0.03</v>
          </cell>
          <cell r="M127">
            <v>2.5000000000000001E-2</v>
          </cell>
          <cell r="N127">
            <v>2.75E-2</v>
          </cell>
          <cell r="O127">
            <v>0.03</v>
          </cell>
        </row>
        <row r="128">
          <cell r="E128" t="str">
            <v>Discount Rate</v>
          </cell>
          <cell r="F128">
            <v>8.7869863909849841E-2</v>
          </cell>
          <cell r="G128">
            <v>227351.2934266848</v>
          </cell>
          <cell r="H128">
            <v>344496.61949371285</v>
          </cell>
          <cell r="I128">
            <v>470014.58737443225</v>
          </cell>
          <cell r="K128" t="str">
            <v>Discount Rate</v>
          </cell>
          <cell r="L128">
            <v>8.7869863909849841E-2</v>
          </cell>
          <cell r="M128">
            <v>97915.807514219414</v>
          </cell>
          <cell r="N128">
            <v>148368.03510213285</v>
          </cell>
          <cell r="O128">
            <v>202426.19768103975</v>
          </cell>
        </row>
        <row r="129">
          <cell r="F129">
            <v>9.0369863909849843E-2</v>
          </cell>
          <cell r="G129">
            <v>218656.48821261016</v>
          </cell>
          <cell r="H129">
            <v>330797.8217681566</v>
          </cell>
          <cell r="I129">
            <v>450550.62982450699</v>
          </cell>
          <cell r="L129">
            <v>9.0369863909849843E-2</v>
          </cell>
          <cell r="M129">
            <v>92033.675037194189</v>
          </cell>
          <cell r="N129">
            <v>139234.55681781337</v>
          </cell>
          <cell r="O129">
            <v>189639.14856600386</v>
          </cell>
        </row>
        <row r="130">
          <cell r="F130">
            <v>9.2869863909849845E-2</v>
          </cell>
          <cell r="G130">
            <v>210602.23277373644</v>
          </cell>
          <cell r="H130">
            <v>318146.81555586151</v>
          </cell>
          <cell r="I130">
            <v>432634.62834919919</v>
          </cell>
          <cell r="L130">
            <v>9.2869863909849845E-2</v>
          </cell>
          <cell r="M130">
            <v>86636.164493094358</v>
          </cell>
          <cell r="N130">
            <v>130877.14922312576</v>
          </cell>
          <cell r="O130">
            <v>177974.39435193018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50ABFB-698D-4191-843E-9BE893F9C78C}" name="Table92632384447505685919458141723589" displayName="Table92632384447505685919458141723589" ref="A175:B177" headerRowCount="0">
  <tableColumns count="2">
    <tableColumn id="1" xr3:uid="{58CD2555-90D9-4F46-B60F-27783A31F21C}" name="Column1" totalsRowLabel="Total" headerRowDxfId="17" dataDxfId="16" totalsRowDxfId="18"/>
    <tableColumn id="2" xr3:uid="{F06C989A-33AF-40CE-863F-253AF4D1C884}" name="Column2" totalsRowFunction="sum" headerRowDxfId="14" dataDxfId="13" totalsRowDxfId="15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2053FD-0164-4B99-A18F-5E6DA75BE419}" name="Table102733394548515786929569151824690" displayName="Table102733394548515786929569151824690" ref="A170:E172" headerRowCount="0" totalsRowShown="0">
  <tableColumns count="5">
    <tableColumn id="1" xr3:uid="{0DFA9072-5C09-44F7-BFA3-9DEF2D2187AC}" name="Column1" headerRowDxfId="12" dataDxfId="11"/>
    <tableColumn id="2" xr3:uid="{E3979710-AC7B-4527-BE45-845AE43DE91F}" name="Column2" headerRowDxfId="10"/>
    <tableColumn id="3" xr3:uid="{17176F26-C739-4381-A9AF-9F79425969F4}" name="Column3" headerRowDxfId="9"/>
    <tableColumn id="4" xr3:uid="{504389C6-10EC-4491-B0AB-74693AFC25D6}" name="Column4" headerRowDxfId="8" dataDxfId="7"/>
    <tableColumn id="5" xr3:uid="{188A6DBA-F307-4296-8C8C-98FD81E64609}" name="Column5" headerRowDxfId="6" dataDxfId="5">
      <calculatedColumnFormula>D170*($B$140)</calculatedColumnFormula>
    </tableColumn>
  </tableColumns>
  <tableStyleInfo name="TableStyleDark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985B99-2672-49F8-873C-B066CFB7E917}" name="Table1228344046495258879396712161925791" displayName="Table1228344046495258879396712161925791" ref="A182:B184" headerRowCount="0" totalsRowShown="0" headerRowDxfId="4" dataDxfId="3">
  <tableColumns count="2">
    <tableColumn id="1" xr3:uid="{7CF71D68-4D56-4922-9EFA-07753C35E294}" name="Column1" dataDxfId="2"/>
    <tableColumn id="2" xr3:uid="{6EB7383B-053C-499B-8B41-807031D79389}" name="Column2" headerRowDxfId="1" dataDxfId="0">
      <calculatedColumnFormula>$B$153/D46</calculatedColumnFormula>
    </tableColumn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B1B68-5926-47C7-B3E9-D08362D69276}">
  <dimension ref="A1:Q255"/>
  <sheetViews>
    <sheetView showGridLines="0" tabSelected="1" zoomScale="70" zoomScaleNormal="70" zoomScalePageLayoutView="80" workbookViewId="0"/>
  </sheetViews>
  <sheetFormatPr defaultColWidth="12.42578125" defaultRowHeight="15.75"/>
  <cols>
    <col min="1" max="1" width="63.42578125" style="1" customWidth="1"/>
    <col min="2" max="2" width="36" style="1" customWidth="1"/>
    <col min="3" max="3" width="0.140625" style="1" customWidth="1"/>
    <col min="4" max="4" width="24" style="1" customWidth="1"/>
    <col min="5" max="5" width="28.7109375" style="1" bestFit="1" customWidth="1"/>
    <col min="6" max="6" width="22.140625" style="1" customWidth="1"/>
    <col min="7" max="7" width="17.140625" style="1" customWidth="1"/>
    <col min="8" max="8" width="23.140625" style="1" bestFit="1" customWidth="1"/>
    <col min="9" max="9" width="18.28515625" style="1" customWidth="1"/>
    <col min="10" max="10" width="20" style="1" customWidth="1"/>
    <col min="11" max="11" width="28.7109375" style="1" bestFit="1" customWidth="1"/>
    <col min="12" max="15" width="16.140625" style="1" bestFit="1" customWidth="1"/>
    <col min="16" max="16" width="26.7109375" style="1" customWidth="1"/>
    <col min="17" max="17" width="24" style="1" bestFit="1" customWidth="1"/>
    <col min="18" max="16384" width="12.42578125" style="1"/>
  </cols>
  <sheetData>
    <row r="1" spans="1:17">
      <c r="A1" s="1" t="s">
        <v>0</v>
      </c>
    </row>
    <row r="2" spans="1:17" ht="26.25">
      <c r="A2" s="2" t="s">
        <v>1</v>
      </c>
      <c r="G2" s="3"/>
    </row>
    <row r="3" spans="1:17" ht="15.95" customHeight="1">
      <c r="A3" s="4" t="s">
        <v>2</v>
      </c>
      <c r="I3" s="5"/>
      <c r="J3" s="5"/>
      <c r="K3" s="5"/>
      <c r="L3" s="5"/>
      <c r="M3" s="5"/>
      <c r="N3" s="6"/>
      <c r="O3" s="6"/>
      <c r="P3" s="6"/>
      <c r="Q3" s="6"/>
    </row>
    <row r="4" spans="1:17">
      <c r="A4" s="7"/>
      <c r="B4" s="8"/>
      <c r="C4" s="8"/>
      <c r="D4" s="8"/>
      <c r="E4" s="8"/>
      <c r="F4" s="8"/>
      <c r="G4" s="8"/>
      <c r="H4" s="8"/>
      <c r="I4" s="9"/>
      <c r="J4" s="9"/>
      <c r="K4" s="10"/>
      <c r="L4" s="9"/>
      <c r="M4" s="11"/>
      <c r="N4" s="12"/>
      <c r="O4" s="12"/>
      <c r="P4" s="12"/>
      <c r="Q4" s="12"/>
    </row>
    <row r="5" spans="1:17" ht="18.75">
      <c r="A5" s="13" t="s">
        <v>3</v>
      </c>
      <c r="B5" s="14"/>
      <c r="C5" s="8"/>
      <c r="D5" s="8"/>
      <c r="E5" s="15" t="s">
        <v>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</row>
    <row r="6" spans="1:17">
      <c r="A6" s="8" t="s">
        <v>5</v>
      </c>
      <c r="B6" s="17">
        <v>44836</v>
      </c>
      <c r="C6" s="18"/>
      <c r="D6" s="18"/>
      <c r="E6" s="19">
        <f>B6</f>
        <v>44836</v>
      </c>
      <c r="F6" s="20">
        <f>E6+365.5</f>
        <v>45201.5</v>
      </c>
      <c r="G6" s="21">
        <f>F6+365.25</f>
        <v>45566.75</v>
      </c>
      <c r="H6" s="21">
        <f>G6+365</f>
        <v>45931.75</v>
      </c>
      <c r="I6" s="21">
        <f t="shared" ref="I6:O6" si="0">H6+365.25</f>
        <v>46297</v>
      </c>
      <c r="J6" s="20">
        <f t="shared" si="0"/>
        <v>46662.25</v>
      </c>
      <c r="K6" s="21">
        <f t="shared" si="0"/>
        <v>47027.5</v>
      </c>
      <c r="L6" s="21">
        <f t="shared" si="0"/>
        <v>47392.75</v>
      </c>
      <c r="M6" s="21">
        <f t="shared" si="0"/>
        <v>47758</v>
      </c>
      <c r="N6" s="20">
        <f t="shared" si="0"/>
        <v>48123.25</v>
      </c>
      <c r="O6" s="21">
        <f t="shared" si="0"/>
        <v>48488.5</v>
      </c>
      <c r="P6" s="16"/>
      <c r="Q6" s="16"/>
    </row>
    <row r="7" spans="1:17">
      <c r="A7" s="8" t="s">
        <v>6</v>
      </c>
      <c r="B7" s="22">
        <f>(((E168-E163)/E168)*((0.0425+(B12*0.055))))+((1-0.21)*(0.027*(E163/E168)))</f>
        <v>8.8535063657116511E-2</v>
      </c>
      <c r="C7" s="23"/>
      <c r="D7" s="24" t="s">
        <v>7</v>
      </c>
      <c r="E7" s="25">
        <v>164.2</v>
      </c>
      <c r="F7" s="26">
        <f t="shared" ref="F7:O10" si="1">E7*(1+F21)</f>
        <v>176.51499999999999</v>
      </c>
      <c r="G7" s="26">
        <f t="shared" si="1"/>
        <v>172.98469999999998</v>
      </c>
      <c r="H7" s="26">
        <f t="shared" si="1"/>
        <v>178.17424099999997</v>
      </c>
      <c r="I7" s="26">
        <f t="shared" si="1"/>
        <v>183.51946822999997</v>
      </c>
      <c r="J7" s="26">
        <f t="shared" si="1"/>
        <v>189.02505227689997</v>
      </c>
      <c r="K7" s="26">
        <f t="shared" si="1"/>
        <v>194.69580384520697</v>
      </c>
      <c r="L7" s="26">
        <f t="shared" si="1"/>
        <v>200.53667796056317</v>
      </c>
      <c r="M7" s="26">
        <f t="shared" si="1"/>
        <v>206.55277829938007</v>
      </c>
      <c r="N7" s="26">
        <f t="shared" si="1"/>
        <v>212.74936164836149</v>
      </c>
      <c r="O7" s="26">
        <f t="shared" si="1"/>
        <v>218.0680956895705</v>
      </c>
      <c r="P7" s="16"/>
      <c r="Q7" s="16"/>
    </row>
    <row r="8" spans="1:17" ht="15.95" customHeight="1">
      <c r="A8" s="8" t="s">
        <v>8</v>
      </c>
      <c r="B8" s="27">
        <v>2.5000000000000001E-3</v>
      </c>
      <c r="C8" s="23"/>
      <c r="D8" s="24" t="s">
        <v>9</v>
      </c>
      <c r="E8" s="25">
        <v>42.8</v>
      </c>
      <c r="F8" s="28">
        <f t="shared" si="1"/>
        <v>44.94</v>
      </c>
      <c r="G8" s="28">
        <f t="shared" si="1"/>
        <v>46.288199999999996</v>
      </c>
      <c r="H8" s="28">
        <f t="shared" si="1"/>
        <v>47.676845999999998</v>
      </c>
      <c r="I8" s="28">
        <f t="shared" si="1"/>
        <v>49.107151379999998</v>
      </c>
      <c r="J8" s="28">
        <f t="shared" si="1"/>
        <v>50.580365921400002</v>
      </c>
      <c r="K8" s="28">
        <f t="shared" si="1"/>
        <v>52.097776899042003</v>
      </c>
      <c r="L8" s="28">
        <f t="shared" si="1"/>
        <v>53.660710206013263</v>
      </c>
      <c r="M8" s="28">
        <f t="shared" si="1"/>
        <v>55.002227961163591</v>
      </c>
      <c r="N8" s="28">
        <f t="shared" si="1"/>
        <v>56.377283660192674</v>
      </c>
      <c r="O8" s="28">
        <f t="shared" si="1"/>
        <v>57.786715751697486</v>
      </c>
      <c r="P8" s="16"/>
      <c r="Q8" s="16"/>
    </row>
    <row r="9" spans="1:17">
      <c r="A9" s="8" t="s">
        <v>10</v>
      </c>
      <c r="B9" s="27">
        <v>2.75E-2</v>
      </c>
      <c r="C9" s="29"/>
      <c r="D9" s="30" t="s">
        <v>11</v>
      </c>
      <c r="E9" s="25">
        <v>4.4000000000000004</v>
      </c>
      <c r="F9" s="28">
        <f t="shared" si="1"/>
        <v>4.620000000000001</v>
      </c>
      <c r="G9" s="28">
        <f t="shared" si="1"/>
        <v>4.7586000000000013</v>
      </c>
      <c r="H9" s="28">
        <f t="shared" si="1"/>
        <v>4.9013580000000019</v>
      </c>
      <c r="I9" s="28">
        <f t="shared" si="1"/>
        <v>5.0483987400000023</v>
      </c>
      <c r="J9" s="28">
        <f t="shared" si="1"/>
        <v>5.1998507022000027</v>
      </c>
      <c r="K9" s="28">
        <f t="shared" si="1"/>
        <v>5.3558462232660027</v>
      </c>
      <c r="L9" s="28">
        <f t="shared" si="1"/>
        <v>5.5165216099639833</v>
      </c>
      <c r="M9" s="28">
        <f t="shared" si="1"/>
        <v>5.6544346502130827</v>
      </c>
      <c r="N9" s="28">
        <f t="shared" si="1"/>
        <v>5.7957955164684094</v>
      </c>
      <c r="O9" s="28">
        <f t="shared" si="1"/>
        <v>5.9406904043801187</v>
      </c>
      <c r="P9" s="31"/>
      <c r="Q9" s="31"/>
    </row>
    <row r="10" spans="1:17">
      <c r="A10" s="8" t="s">
        <v>12</v>
      </c>
      <c r="B10" s="27">
        <v>2.5000000000000001E-3</v>
      </c>
      <c r="C10" s="23"/>
      <c r="D10" s="32" t="s">
        <v>13</v>
      </c>
      <c r="E10" s="33">
        <v>24.3</v>
      </c>
      <c r="F10" s="33">
        <f t="shared" si="1"/>
        <v>25.515000000000001</v>
      </c>
      <c r="G10" s="33">
        <f t="shared" si="1"/>
        <v>26.280450000000002</v>
      </c>
      <c r="H10" s="33">
        <f t="shared" si="1"/>
        <v>27.068863500000003</v>
      </c>
      <c r="I10" s="33">
        <f t="shared" si="1"/>
        <v>27.880929405000003</v>
      </c>
      <c r="J10" s="33">
        <f t="shared" si="1"/>
        <v>28.717357287150005</v>
      </c>
      <c r="K10" s="33">
        <f t="shared" si="1"/>
        <v>29.578878005764505</v>
      </c>
      <c r="L10" s="33">
        <f t="shared" si="1"/>
        <v>30.46624434593744</v>
      </c>
      <c r="M10" s="33">
        <f t="shared" si="1"/>
        <v>31.380231676315564</v>
      </c>
      <c r="N10" s="33">
        <f t="shared" si="1"/>
        <v>32.321638626605029</v>
      </c>
      <c r="O10" s="33">
        <f t="shared" si="1"/>
        <v>33.129679592270151</v>
      </c>
      <c r="P10" s="8"/>
      <c r="Q10" s="8"/>
    </row>
    <row r="11" spans="1:17" ht="15" customHeight="1">
      <c r="A11" s="8" t="s">
        <v>14</v>
      </c>
      <c r="B11" s="27">
        <v>0.05</v>
      </c>
      <c r="C11" s="23"/>
      <c r="D11" s="23"/>
      <c r="E11" s="34">
        <f t="shared" ref="E11:O11" si="2">SUM(E7:E10)</f>
        <v>235.70000000000002</v>
      </c>
      <c r="F11" s="34">
        <f t="shared" si="2"/>
        <v>251.58999999999997</v>
      </c>
      <c r="G11" s="34">
        <f t="shared" si="2"/>
        <v>250.31194999999997</v>
      </c>
      <c r="H11" s="34">
        <f t="shared" si="2"/>
        <v>257.82130849999999</v>
      </c>
      <c r="I11" s="34">
        <f t="shared" si="2"/>
        <v>265.55594775499998</v>
      </c>
      <c r="J11" s="34">
        <f t="shared" si="2"/>
        <v>273.52262618764996</v>
      </c>
      <c r="K11" s="34">
        <f t="shared" si="2"/>
        <v>281.72830497327948</v>
      </c>
      <c r="L11" s="34">
        <f t="shared" si="2"/>
        <v>290.18015412247792</v>
      </c>
      <c r="M11" s="34">
        <f t="shared" si="2"/>
        <v>298.58967258707236</v>
      </c>
      <c r="N11" s="34">
        <f t="shared" si="2"/>
        <v>307.24407945162756</v>
      </c>
      <c r="O11" s="34">
        <f t="shared" si="2"/>
        <v>314.92518143791824</v>
      </c>
    </row>
    <row r="12" spans="1:17">
      <c r="A12" s="8" t="s">
        <v>15</v>
      </c>
      <c r="B12" s="35">
        <v>1.28</v>
      </c>
      <c r="C12" s="29"/>
      <c r="D12" s="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7" ht="15.75" customHeight="1">
      <c r="A13" s="8"/>
      <c r="B13" s="27"/>
      <c r="C13" s="23"/>
      <c r="D13" s="23"/>
      <c r="E13" s="37" t="s">
        <v>16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7">
      <c r="A14" s="8"/>
      <c r="B14" s="35"/>
      <c r="C14" s="23"/>
      <c r="D14" s="38" t="s">
        <v>7</v>
      </c>
      <c r="E14" s="39">
        <v>3.91</v>
      </c>
      <c r="F14" s="40">
        <f t="shared" ref="F14:O17" si="3">E14*(1+F26)</f>
        <v>4.1055000000000001</v>
      </c>
      <c r="G14" s="40">
        <f t="shared" si="3"/>
        <v>4.5160500000000008</v>
      </c>
      <c r="H14" s="40">
        <f t="shared" si="3"/>
        <v>4.7418525000000011</v>
      </c>
      <c r="I14" s="40">
        <f t="shared" si="3"/>
        <v>4.978945125000001</v>
      </c>
      <c r="J14" s="40">
        <f t="shared" si="3"/>
        <v>5.2278923812500011</v>
      </c>
      <c r="K14" s="40">
        <f t="shared" si="3"/>
        <v>5.4892870003125012</v>
      </c>
      <c r="L14" s="40">
        <f t="shared" si="3"/>
        <v>5.7637513503281266</v>
      </c>
      <c r="M14" s="40">
        <f t="shared" si="3"/>
        <v>6.0519389178445335</v>
      </c>
      <c r="N14" s="40">
        <f t="shared" si="3"/>
        <v>6.3545358637367606</v>
      </c>
      <c r="O14" s="40">
        <f t="shared" si="3"/>
        <v>6.672262656923599</v>
      </c>
    </row>
    <row r="15" spans="1:17" ht="15.75" customHeight="1">
      <c r="A15" s="7"/>
      <c r="B15" s="27"/>
      <c r="C15" s="23"/>
      <c r="D15" s="38" t="s">
        <v>9</v>
      </c>
      <c r="E15" s="39">
        <v>12.21</v>
      </c>
      <c r="F15" s="40">
        <f t="shared" si="3"/>
        <v>12.51525</v>
      </c>
      <c r="G15" s="40">
        <f t="shared" si="3"/>
        <v>12.828131249999998</v>
      </c>
      <c r="H15" s="40">
        <f t="shared" si="3"/>
        <v>13.148834531249998</v>
      </c>
      <c r="I15" s="40">
        <f t="shared" si="3"/>
        <v>13.477555394531246</v>
      </c>
      <c r="J15" s="40">
        <f t="shared" si="3"/>
        <v>13.814494279394525</v>
      </c>
      <c r="K15" s="40">
        <f t="shared" si="3"/>
        <v>14.159856636379388</v>
      </c>
      <c r="L15" s="40">
        <f t="shared" si="3"/>
        <v>14.513853052288871</v>
      </c>
      <c r="M15" s="40">
        <f t="shared" si="3"/>
        <v>14.876699378596092</v>
      </c>
      <c r="N15" s="40">
        <f t="shared" si="3"/>
        <v>15.248616863060994</v>
      </c>
      <c r="O15" s="40">
        <f t="shared" si="3"/>
        <v>15.629832284637518</v>
      </c>
    </row>
    <row r="16" spans="1:17">
      <c r="A16" s="41"/>
      <c r="B16" s="27"/>
      <c r="C16" s="23"/>
      <c r="D16" s="32" t="s">
        <v>17</v>
      </c>
      <c r="E16" s="39">
        <v>86.77</v>
      </c>
      <c r="F16" s="40">
        <f t="shared" si="3"/>
        <v>91.108500000000006</v>
      </c>
      <c r="G16" s="40">
        <f t="shared" si="3"/>
        <v>95.663925000000006</v>
      </c>
      <c r="H16" s="40">
        <f t="shared" si="3"/>
        <v>98.055523124999993</v>
      </c>
      <c r="I16" s="40">
        <f t="shared" si="3"/>
        <v>100.50691120312499</v>
      </c>
      <c r="J16" s="40">
        <f t="shared" si="3"/>
        <v>103.01958398320311</v>
      </c>
      <c r="K16" s="40">
        <f t="shared" si="3"/>
        <v>105.59507358278317</v>
      </c>
      <c r="L16" s="40">
        <f t="shared" si="3"/>
        <v>108.23495042235274</v>
      </c>
      <c r="M16" s="40">
        <f t="shared" si="3"/>
        <v>110.94082418291154</v>
      </c>
      <c r="N16" s="40">
        <f t="shared" si="3"/>
        <v>113.71434478748432</v>
      </c>
      <c r="O16" s="40">
        <f t="shared" si="3"/>
        <v>116.55720340717141</v>
      </c>
    </row>
    <row r="17" spans="1:16">
      <c r="A17" s="41"/>
      <c r="B17" s="27"/>
      <c r="C17" s="23"/>
      <c r="D17" s="42" t="s">
        <v>13</v>
      </c>
      <c r="E17" s="43">
        <v>4.84</v>
      </c>
      <c r="F17" s="44">
        <f t="shared" si="3"/>
        <v>5.0819999999999999</v>
      </c>
      <c r="G17" s="44">
        <f t="shared" si="3"/>
        <v>5.3361000000000001</v>
      </c>
      <c r="H17" s="44">
        <f t="shared" si="3"/>
        <v>5.6029050000000007</v>
      </c>
      <c r="I17" s="44">
        <f t="shared" si="3"/>
        <v>5.883050250000001</v>
      </c>
      <c r="J17" s="44">
        <f t="shared" si="3"/>
        <v>6.1772027625000012</v>
      </c>
      <c r="K17" s="44">
        <f t="shared" si="3"/>
        <v>6.4860629006250017</v>
      </c>
      <c r="L17" s="44">
        <f t="shared" si="3"/>
        <v>6.8103660456562523</v>
      </c>
      <c r="M17" s="44">
        <f t="shared" si="3"/>
        <v>7.1508843479390656</v>
      </c>
      <c r="N17" s="44">
        <f t="shared" si="3"/>
        <v>7.5084285653360192</v>
      </c>
      <c r="O17" s="44">
        <f t="shared" si="3"/>
        <v>7.8838499936028201</v>
      </c>
    </row>
    <row r="18" spans="1:16">
      <c r="A18" s="8"/>
      <c r="B18" s="27"/>
      <c r="C18" s="23"/>
      <c r="D18" s="45" t="s">
        <v>18</v>
      </c>
      <c r="E18" s="46">
        <f>(E7*E14*12)+(E8*E15*12)+(E9*E16*12)+(E10*E17*12)-400</f>
        <v>19568.12</v>
      </c>
      <c r="F18" s="46">
        <f>(F7*F14*12)+(F8*F15*12)+(F9*F16*12)+(F10*F17*12)</f>
        <v>22052.474010000002</v>
      </c>
      <c r="G18" s="46">
        <f t="shared" ref="G18:O18" si="4">(G7*G14*12)+(G8*G15*12)+(G9*G16*12)+(G10*G17*12)</f>
        <v>23645.521465335005</v>
      </c>
      <c r="H18" s="46">
        <f t="shared" si="4"/>
        <v>25248.485070104547</v>
      </c>
      <c r="I18" s="46">
        <f t="shared" si="4"/>
        <v>26964.019047160782</v>
      </c>
      <c r="J18" s="46">
        <f t="shared" si="4"/>
        <v>28800.290414591327</v>
      </c>
      <c r="K18" s="46">
        <f t="shared" si="4"/>
        <v>30766.075636158563</v>
      </c>
      <c r="L18" s="46">
        <f t="shared" si="4"/>
        <v>32870.807159850898</v>
      </c>
      <c r="M18" s="46">
        <f t="shared" si="4"/>
        <v>35040.005472265133</v>
      </c>
      <c r="N18" s="46">
        <f t="shared" si="4"/>
        <v>37360.186215790993</v>
      </c>
      <c r="O18" s="46">
        <f t="shared" si="4"/>
        <v>39741.887653187558</v>
      </c>
    </row>
    <row r="19" spans="1:16">
      <c r="B19" s="27"/>
      <c r="C19" s="23"/>
      <c r="D19" s="45"/>
      <c r="E19" s="47">
        <v>0.55000000000000004</v>
      </c>
      <c r="F19" s="48">
        <f t="shared" ref="F19:O19" si="5">(F18-E18)/E18</f>
        <v>0.12695925873308234</v>
      </c>
      <c r="G19" s="48">
        <f t="shared" si="5"/>
        <v>7.2238944918951664E-2</v>
      </c>
      <c r="H19" s="48">
        <f t="shared" si="5"/>
        <v>6.7791425413033568E-2</v>
      </c>
      <c r="I19" s="48">
        <f t="shared" si="5"/>
        <v>6.7946016257724381E-2</v>
      </c>
      <c r="J19" s="48">
        <f t="shared" si="5"/>
        <v>6.8100803675403804E-2</v>
      </c>
      <c r="K19" s="48">
        <f t="shared" si="5"/>
        <v>6.8255743024427759E-2</v>
      </c>
      <c r="L19" s="48">
        <f t="shared" si="5"/>
        <v>6.8410789487194104E-2</v>
      </c>
      <c r="M19" s="48">
        <f t="shared" si="5"/>
        <v>6.5991635126737627E-2</v>
      </c>
      <c r="N19" s="48">
        <f t="shared" si="5"/>
        <v>6.6215193526791241E-2</v>
      </c>
      <c r="O19" s="48">
        <f t="shared" si="5"/>
        <v>6.3749720722481126E-2</v>
      </c>
    </row>
    <row r="20" spans="1:16">
      <c r="A20" s="8"/>
      <c r="B20" s="27"/>
      <c r="C20" s="23"/>
      <c r="D20" s="45"/>
      <c r="E20" s="49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6">
      <c r="A21" s="8"/>
      <c r="B21" s="27"/>
      <c r="C21" s="23"/>
      <c r="D21" s="50" t="s">
        <v>19</v>
      </c>
      <c r="E21" s="51">
        <v>0.39</v>
      </c>
      <c r="F21" s="52">
        <v>7.4999999999999997E-2</v>
      </c>
      <c r="G21" s="52">
        <v>-0.02</v>
      </c>
      <c r="H21" s="52">
        <v>0.03</v>
      </c>
      <c r="I21" s="52">
        <v>0.03</v>
      </c>
      <c r="J21" s="52">
        <v>0.03</v>
      </c>
      <c r="K21" s="52">
        <v>0.03</v>
      </c>
      <c r="L21" s="52">
        <v>0.03</v>
      </c>
      <c r="M21" s="52">
        <v>0.03</v>
      </c>
      <c r="N21" s="52">
        <v>0.03</v>
      </c>
      <c r="O21" s="52">
        <v>2.5000000000000001E-2</v>
      </c>
      <c r="P21" s="53"/>
    </row>
    <row r="22" spans="1:16">
      <c r="A22" s="8"/>
      <c r="B22" s="27"/>
      <c r="C22" s="23"/>
      <c r="D22" s="50" t="s">
        <v>20</v>
      </c>
      <c r="E22" s="51">
        <v>0.08</v>
      </c>
      <c r="F22" s="52">
        <v>0.05</v>
      </c>
      <c r="G22" s="52">
        <v>0.03</v>
      </c>
      <c r="H22" s="52">
        <v>0.03</v>
      </c>
      <c r="I22" s="52">
        <v>0.03</v>
      </c>
      <c r="J22" s="52">
        <v>0.03</v>
      </c>
      <c r="K22" s="52">
        <v>0.03</v>
      </c>
      <c r="L22" s="52">
        <v>0.03</v>
      </c>
      <c r="M22" s="52">
        <v>2.5000000000000001E-2</v>
      </c>
      <c r="N22" s="52">
        <v>2.5000000000000001E-2</v>
      </c>
      <c r="O22" s="52">
        <v>2.5000000000000001E-2</v>
      </c>
      <c r="P22" s="53"/>
    </row>
    <row r="23" spans="1:16">
      <c r="A23" s="8"/>
      <c r="B23" s="27"/>
      <c r="C23" s="23"/>
      <c r="D23" s="54" t="s">
        <v>21</v>
      </c>
      <c r="E23" s="55">
        <v>0.1</v>
      </c>
      <c r="F23" s="52">
        <v>0.05</v>
      </c>
      <c r="G23" s="52">
        <v>0.03</v>
      </c>
      <c r="H23" s="52">
        <v>0.03</v>
      </c>
      <c r="I23" s="52">
        <v>0.03</v>
      </c>
      <c r="J23" s="52">
        <v>0.03</v>
      </c>
      <c r="K23" s="52">
        <v>0.03</v>
      </c>
      <c r="L23" s="52">
        <v>0.03</v>
      </c>
      <c r="M23" s="52">
        <v>2.5000000000000001E-2</v>
      </c>
      <c r="N23" s="52">
        <v>2.5000000000000001E-2</v>
      </c>
      <c r="O23" s="52">
        <v>2.5000000000000001E-2</v>
      </c>
      <c r="P23" s="53"/>
    </row>
    <row r="24" spans="1:16">
      <c r="A24" s="8"/>
      <c r="B24" s="27"/>
      <c r="C24" s="23"/>
      <c r="D24" s="54" t="s">
        <v>22</v>
      </c>
      <c r="E24" s="56">
        <v>0.42</v>
      </c>
      <c r="F24" s="57">
        <v>0.05</v>
      </c>
      <c r="G24" s="57">
        <v>0.03</v>
      </c>
      <c r="H24" s="57">
        <v>0.03</v>
      </c>
      <c r="I24" s="57">
        <v>0.03</v>
      </c>
      <c r="J24" s="57">
        <v>0.03</v>
      </c>
      <c r="K24" s="57">
        <v>0.03</v>
      </c>
      <c r="L24" s="57">
        <v>0.03</v>
      </c>
      <c r="M24" s="57">
        <v>0.03</v>
      </c>
      <c r="N24" s="57">
        <v>0.03</v>
      </c>
      <c r="O24" s="57">
        <v>2.5000000000000001E-2</v>
      </c>
      <c r="P24" s="53"/>
    </row>
    <row r="25" spans="1:16">
      <c r="A25" s="8"/>
      <c r="B25" s="27"/>
      <c r="C25" s="23"/>
      <c r="D25" s="54"/>
      <c r="E25" s="49"/>
      <c r="F25" s="48"/>
      <c r="G25" s="52"/>
      <c r="H25" s="52"/>
      <c r="I25" s="52"/>
      <c r="J25" s="52"/>
      <c r="K25" s="52"/>
      <c r="L25" s="52"/>
      <c r="M25" s="52"/>
      <c r="N25" s="52"/>
      <c r="O25" s="52"/>
      <c r="P25" s="53"/>
    </row>
    <row r="26" spans="1:16">
      <c r="A26" s="8"/>
      <c r="B26" s="27"/>
      <c r="C26" s="23"/>
      <c r="D26" s="50" t="s">
        <v>23</v>
      </c>
      <c r="E26" s="58" t="s">
        <v>24</v>
      </c>
      <c r="F26" s="52">
        <v>0.05</v>
      </c>
      <c r="G26" s="52">
        <v>0.1</v>
      </c>
      <c r="H26" s="52">
        <v>0.05</v>
      </c>
      <c r="I26" s="52">
        <v>0.05</v>
      </c>
      <c r="J26" s="52">
        <v>0.05</v>
      </c>
      <c r="K26" s="52">
        <v>0.05</v>
      </c>
      <c r="L26" s="52">
        <v>0.05</v>
      </c>
      <c r="M26" s="52">
        <v>0.05</v>
      </c>
      <c r="N26" s="52">
        <v>0.05</v>
      </c>
      <c r="O26" s="52">
        <v>0.05</v>
      </c>
      <c r="P26" s="53"/>
    </row>
    <row r="27" spans="1:16">
      <c r="A27" s="8"/>
      <c r="B27" s="27"/>
      <c r="C27" s="23"/>
      <c r="D27" s="50" t="s">
        <v>25</v>
      </c>
      <c r="E27" s="58" t="s">
        <v>24</v>
      </c>
      <c r="F27" s="52">
        <v>2.5000000000000001E-2</v>
      </c>
      <c r="G27" s="52">
        <v>2.5000000000000001E-2</v>
      </c>
      <c r="H27" s="52">
        <v>2.5000000000000001E-2</v>
      </c>
      <c r="I27" s="52">
        <v>2.5000000000000001E-2</v>
      </c>
      <c r="J27" s="52">
        <v>2.5000000000000001E-2</v>
      </c>
      <c r="K27" s="52">
        <v>2.5000000000000001E-2</v>
      </c>
      <c r="L27" s="52">
        <v>2.5000000000000001E-2</v>
      </c>
      <c r="M27" s="52">
        <v>2.5000000000000001E-2</v>
      </c>
      <c r="N27" s="52">
        <v>2.5000000000000001E-2</v>
      </c>
      <c r="O27" s="52">
        <v>2.5000000000000001E-2</v>
      </c>
      <c r="P27" s="53"/>
    </row>
    <row r="28" spans="1:16">
      <c r="A28" s="8"/>
      <c r="B28" s="27"/>
      <c r="C28" s="23"/>
      <c r="D28" s="54" t="s">
        <v>26</v>
      </c>
      <c r="E28" s="58" t="s">
        <v>24</v>
      </c>
      <c r="F28" s="52">
        <v>0.05</v>
      </c>
      <c r="G28" s="52">
        <v>0.05</v>
      </c>
      <c r="H28" s="52">
        <v>2.5000000000000001E-2</v>
      </c>
      <c r="I28" s="52">
        <v>2.5000000000000001E-2</v>
      </c>
      <c r="J28" s="52">
        <v>2.5000000000000001E-2</v>
      </c>
      <c r="K28" s="52">
        <v>2.5000000000000001E-2</v>
      </c>
      <c r="L28" s="52">
        <v>2.5000000000000001E-2</v>
      </c>
      <c r="M28" s="52">
        <v>2.5000000000000001E-2</v>
      </c>
      <c r="N28" s="52">
        <v>2.5000000000000001E-2</v>
      </c>
      <c r="O28" s="52">
        <v>2.5000000000000001E-2</v>
      </c>
      <c r="P28" s="53"/>
    </row>
    <row r="29" spans="1:16">
      <c r="A29" s="8"/>
      <c r="B29" s="27"/>
      <c r="C29" s="23"/>
      <c r="D29" s="54" t="s">
        <v>27</v>
      </c>
      <c r="E29" s="59" t="s">
        <v>24</v>
      </c>
      <c r="F29" s="57">
        <v>0.05</v>
      </c>
      <c r="G29" s="57">
        <v>0.05</v>
      </c>
      <c r="H29" s="57">
        <v>0.05</v>
      </c>
      <c r="I29" s="57">
        <v>0.05</v>
      </c>
      <c r="J29" s="57">
        <v>0.05</v>
      </c>
      <c r="K29" s="57">
        <v>0.05</v>
      </c>
      <c r="L29" s="57">
        <v>0.05</v>
      </c>
      <c r="M29" s="57">
        <v>0.05</v>
      </c>
      <c r="N29" s="57">
        <v>0.05</v>
      </c>
      <c r="O29" s="57">
        <v>0.05</v>
      </c>
      <c r="P29" s="53"/>
    </row>
    <row r="30" spans="1:16">
      <c r="A30" s="9"/>
      <c r="B30" s="27"/>
      <c r="C30" s="23"/>
      <c r="D30" s="54"/>
      <c r="E30" s="60"/>
      <c r="F30" s="60"/>
      <c r="G30" s="52"/>
      <c r="H30" s="52"/>
      <c r="I30" s="52"/>
      <c r="J30" s="52"/>
      <c r="K30" s="52"/>
      <c r="L30" s="52"/>
      <c r="M30" s="52"/>
      <c r="N30" s="52"/>
      <c r="O30" s="52"/>
      <c r="P30" s="53"/>
    </row>
    <row r="31" spans="1:16">
      <c r="A31" s="9"/>
      <c r="B31" s="27"/>
      <c r="C31" s="23"/>
      <c r="D31" s="54" t="s">
        <v>28</v>
      </c>
      <c r="E31" s="55">
        <v>0.01</v>
      </c>
      <c r="F31" s="52">
        <v>0.01</v>
      </c>
      <c r="G31" s="52">
        <v>0.01</v>
      </c>
      <c r="H31" s="52">
        <v>0.01</v>
      </c>
      <c r="I31" s="52">
        <v>0.01</v>
      </c>
      <c r="J31" s="52">
        <v>0.01</v>
      </c>
      <c r="K31" s="52">
        <v>0.01</v>
      </c>
      <c r="L31" s="52">
        <v>0.01</v>
      </c>
      <c r="M31" s="52">
        <v>0.01</v>
      </c>
      <c r="N31" s="52">
        <v>0.01</v>
      </c>
      <c r="O31" s="52">
        <v>0.01</v>
      </c>
      <c r="P31" s="53"/>
    </row>
    <row r="32" spans="1:16" ht="18">
      <c r="A32" s="61"/>
      <c r="B32" s="62"/>
      <c r="C32" s="23"/>
      <c r="D32" s="54" t="s">
        <v>29</v>
      </c>
      <c r="E32" s="51">
        <v>0.11</v>
      </c>
      <c r="F32" s="52">
        <v>0.05</v>
      </c>
      <c r="G32" s="52">
        <v>0.05</v>
      </c>
      <c r="H32" s="52">
        <v>0.03</v>
      </c>
      <c r="I32" s="52">
        <v>0.03</v>
      </c>
      <c r="J32" s="52">
        <v>0.03</v>
      </c>
      <c r="K32" s="52">
        <v>0.03</v>
      </c>
      <c r="L32" s="52">
        <v>0.03</v>
      </c>
      <c r="M32" s="52">
        <v>0.03</v>
      </c>
      <c r="N32" s="52">
        <v>0.03</v>
      </c>
      <c r="O32" s="52">
        <v>0.03</v>
      </c>
      <c r="P32" s="53"/>
    </row>
    <row r="33" spans="1:16" ht="18">
      <c r="A33" s="63"/>
      <c r="B33" s="64"/>
      <c r="C33" s="23"/>
      <c r="D33" s="54" t="s">
        <v>30</v>
      </c>
      <c r="E33" s="56">
        <v>0.73</v>
      </c>
      <c r="F33" s="57">
        <v>0.1</v>
      </c>
      <c r="G33" s="57">
        <v>0.05</v>
      </c>
      <c r="H33" s="57">
        <v>0.05</v>
      </c>
      <c r="I33" s="57">
        <v>0.05</v>
      </c>
      <c r="J33" s="57">
        <v>0.05</v>
      </c>
      <c r="K33" s="57">
        <v>0.03</v>
      </c>
      <c r="L33" s="57">
        <v>0.03</v>
      </c>
      <c r="M33" s="57">
        <v>0.03</v>
      </c>
      <c r="N33" s="57">
        <v>0.03</v>
      </c>
      <c r="O33" s="57">
        <v>0.03</v>
      </c>
      <c r="P33" s="53"/>
    </row>
    <row r="34" spans="1:16">
      <c r="A34" s="9"/>
      <c r="B34" s="27"/>
      <c r="C34" s="23"/>
      <c r="D34" s="54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53"/>
    </row>
    <row r="35" spans="1:16" ht="18">
      <c r="A35" s="61"/>
      <c r="B35" s="27"/>
      <c r="C35" s="23"/>
      <c r="D35" s="66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6" ht="18">
      <c r="A36" s="63"/>
      <c r="B36" s="27"/>
      <c r="C36" s="23"/>
      <c r="D36" s="30" t="s">
        <v>31</v>
      </c>
      <c r="E36" s="41">
        <v>28346</v>
      </c>
      <c r="F36" s="41">
        <f t="shared" ref="F36:O38" si="6">E36*(1+F31)</f>
        <v>28629.46</v>
      </c>
      <c r="G36" s="41">
        <f t="shared" si="6"/>
        <v>28915.7546</v>
      </c>
      <c r="H36" s="41">
        <f t="shared" si="6"/>
        <v>29204.912145999999</v>
      </c>
      <c r="I36" s="41">
        <f t="shared" si="6"/>
        <v>29496.961267459999</v>
      </c>
      <c r="J36" s="41">
        <f t="shared" si="6"/>
        <v>29791.930880134598</v>
      </c>
      <c r="K36" s="41">
        <f t="shared" si="6"/>
        <v>30089.850188935943</v>
      </c>
      <c r="L36" s="41">
        <f t="shared" si="6"/>
        <v>30390.748690825301</v>
      </c>
      <c r="M36" s="41">
        <f t="shared" si="6"/>
        <v>30694.656177733556</v>
      </c>
      <c r="N36" s="41">
        <f t="shared" si="6"/>
        <v>31001.60273951089</v>
      </c>
      <c r="O36" s="41">
        <f t="shared" si="6"/>
        <v>31311.618766905998</v>
      </c>
    </row>
    <row r="37" spans="1:16">
      <c r="A37" s="9"/>
      <c r="B37" s="27"/>
      <c r="C37" s="23"/>
      <c r="D37" s="30" t="s">
        <v>32</v>
      </c>
      <c r="E37" s="41">
        <v>8146</v>
      </c>
      <c r="F37" s="41">
        <f t="shared" si="6"/>
        <v>8553.3000000000011</v>
      </c>
      <c r="G37" s="41">
        <f t="shared" si="6"/>
        <v>8980.965000000002</v>
      </c>
      <c r="H37" s="41">
        <f t="shared" si="6"/>
        <v>9250.3939500000015</v>
      </c>
      <c r="I37" s="41">
        <f t="shared" si="6"/>
        <v>9527.9057685000025</v>
      </c>
      <c r="J37" s="41">
        <f t="shared" si="6"/>
        <v>9813.7429415550032</v>
      </c>
      <c r="K37" s="41">
        <f t="shared" si="6"/>
        <v>10108.155229801654</v>
      </c>
      <c r="L37" s="41">
        <f t="shared" si="6"/>
        <v>10411.399886695704</v>
      </c>
      <c r="M37" s="41">
        <f t="shared" si="6"/>
        <v>10723.741883296576</v>
      </c>
      <c r="N37" s="41">
        <f t="shared" si="6"/>
        <v>11045.454139795473</v>
      </c>
      <c r="O37" s="41">
        <f t="shared" si="6"/>
        <v>11376.817763989337</v>
      </c>
    </row>
    <row r="38" spans="1:16">
      <c r="A38" s="9"/>
      <c r="B38" s="27"/>
      <c r="C38" s="23"/>
      <c r="D38" s="30" t="s">
        <v>33</v>
      </c>
      <c r="E38" s="67">
        <v>28705</v>
      </c>
      <c r="F38" s="67">
        <f t="shared" si="6"/>
        <v>31575.500000000004</v>
      </c>
      <c r="G38" s="67">
        <f t="shared" si="6"/>
        <v>33154.275000000009</v>
      </c>
      <c r="H38" s="67">
        <f t="shared" si="6"/>
        <v>34811.988750000011</v>
      </c>
      <c r="I38" s="67">
        <f t="shared" si="6"/>
        <v>36552.588187500012</v>
      </c>
      <c r="J38" s="67">
        <f t="shared" si="6"/>
        <v>38380.217596875016</v>
      </c>
      <c r="K38" s="67">
        <f t="shared" si="6"/>
        <v>39531.624124781265</v>
      </c>
      <c r="L38" s="67">
        <f t="shared" si="6"/>
        <v>40717.572848524702</v>
      </c>
      <c r="M38" s="67">
        <f t="shared" si="6"/>
        <v>41939.100033980445</v>
      </c>
      <c r="N38" s="67">
        <f t="shared" si="6"/>
        <v>43197.27303499986</v>
      </c>
      <c r="O38" s="67">
        <f t="shared" si="6"/>
        <v>44493.191226049858</v>
      </c>
    </row>
    <row r="39" spans="1:16">
      <c r="A39" s="8"/>
      <c r="B39" s="27"/>
      <c r="C39" s="23"/>
      <c r="D39" s="30" t="s">
        <v>34</v>
      </c>
      <c r="E39" s="68">
        <v>1010</v>
      </c>
      <c r="F39" s="68">
        <v>1010</v>
      </c>
      <c r="G39" s="68">
        <v>1010</v>
      </c>
      <c r="H39" s="68">
        <v>1010</v>
      </c>
      <c r="I39" s="68">
        <v>1010</v>
      </c>
      <c r="J39" s="68">
        <v>1010</v>
      </c>
      <c r="K39" s="68">
        <v>1010</v>
      </c>
      <c r="L39" s="68">
        <v>1010</v>
      </c>
      <c r="M39" s="68">
        <v>1010</v>
      </c>
      <c r="N39" s="68">
        <v>1010</v>
      </c>
      <c r="O39" s="68">
        <v>1010</v>
      </c>
    </row>
    <row r="40" spans="1:16">
      <c r="A40" s="8"/>
      <c r="B40" s="27"/>
      <c r="C40" s="23"/>
      <c r="D40" s="69" t="s">
        <v>35</v>
      </c>
      <c r="E40" s="46">
        <f>E18+E36+E37+E38-E39</f>
        <v>83755.12</v>
      </c>
      <c r="F40" s="46">
        <f t="shared" ref="F40:O40" si="7">F18+F36+F37+F38-F39</f>
        <v>89800.73401</v>
      </c>
      <c r="G40" s="46">
        <f>G18+G36+G37+G38-G39</f>
        <v>93686.516065335018</v>
      </c>
      <c r="H40" s="46">
        <f t="shared" si="7"/>
        <v>97505.77991610457</v>
      </c>
      <c r="I40" s="46">
        <f t="shared" si="7"/>
        <v>101531.47427062079</v>
      </c>
      <c r="J40" s="46">
        <f t="shared" si="7"/>
        <v>105776.18183315595</v>
      </c>
      <c r="K40" s="46">
        <f t="shared" si="7"/>
        <v>109485.70517967743</v>
      </c>
      <c r="L40" s="46">
        <f t="shared" si="7"/>
        <v>113380.52858589659</v>
      </c>
      <c r="M40" s="46">
        <f t="shared" si="7"/>
        <v>117387.50356727571</v>
      </c>
      <c r="N40" s="46">
        <f t="shared" si="7"/>
        <v>121594.51613009722</v>
      </c>
      <c r="O40" s="46">
        <f t="shared" si="7"/>
        <v>125913.51541013276</v>
      </c>
    </row>
    <row r="41" spans="1:16">
      <c r="A41" s="8"/>
      <c r="B41" s="27"/>
      <c r="C41" s="23"/>
      <c r="D41" s="69"/>
      <c r="E41" s="65"/>
      <c r="F41" s="70">
        <f t="shared" ref="F41:O41" si="8">(F40-E40)/E40</f>
        <v>7.2182023140794319E-2</v>
      </c>
      <c r="G41" s="70">
        <f t="shared" si="8"/>
        <v>4.3271161401668562E-2</v>
      </c>
      <c r="H41" s="70">
        <f t="shared" si="8"/>
        <v>4.0766419877392782E-2</v>
      </c>
      <c r="I41" s="70">
        <f t="shared" si="8"/>
        <v>4.1286725340589948E-2</v>
      </c>
      <c r="J41" s="70">
        <f t="shared" si="8"/>
        <v>4.1806815010105774E-2</v>
      </c>
      <c r="K41" s="70">
        <f t="shared" si="8"/>
        <v>3.506955235321909E-2</v>
      </c>
      <c r="L41" s="70">
        <f t="shared" si="8"/>
        <v>3.5573807556222539E-2</v>
      </c>
      <c r="M41" s="70">
        <f t="shared" si="8"/>
        <v>3.5340944616812635E-2</v>
      </c>
      <c r="N41" s="70">
        <f t="shared" si="8"/>
        <v>3.5838674773507259E-2</v>
      </c>
      <c r="O41" s="70">
        <f t="shared" si="8"/>
        <v>3.5519688037695112E-2</v>
      </c>
    </row>
    <row r="42" spans="1:16">
      <c r="A42" s="8"/>
      <c r="B42" s="27"/>
      <c r="C42" s="23"/>
      <c r="D42" s="66"/>
      <c r="E42" s="71"/>
      <c r="F42" s="71"/>
      <c r="G42" s="8"/>
      <c r="H42" s="8"/>
      <c r="I42" s="8"/>
      <c r="J42" s="8"/>
      <c r="K42" s="8"/>
      <c r="L42" s="8"/>
      <c r="M42" s="8"/>
      <c r="N42" s="8"/>
      <c r="O42" s="8"/>
    </row>
    <row r="43" spans="1:16" ht="18">
      <c r="A43" s="13" t="s">
        <v>36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6">
      <c r="A44" s="7" t="s">
        <v>37</v>
      </c>
      <c r="B44" s="8"/>
      <c r="C44" s="8"/>
      <c r="D44" s="8"/>
      <c r="E44" s="72" t="s">
        <v>38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</row>
    <row r="45" spans="1:16">
      <c r="A45" s="73"/>
      <c r="B45" s="74"/>
      <c r="C45" s="74"/>
      <c r="D45" s="74"/>
      <c r="E45" s="75">
        <f>B6</f>
        <v>44836</v>
      </c>
      <c r="F45" s="76">
        <f>E45+365.5</f>
        <v>45201.5</v>
      </c>
      <c r="G45" s="77">
        <f>F45+365.25</f>
        <v>45566.75</v>
      </c>
      <c r="H45" s="77">
        <f>G45+365</f>
        <v>45931.75</v>
      </c>
      <c r="I45" s="77">
        <f t="shared" ref="I45:O45" si="9">H45+365.25</f>
        <v>46297</v>
      </c>
      <c r="J45" s="76">
        <f t="shared" si="9"/>
        <v>46662.25</v>
      </c>
      <c r="K45" s="77">
        <f t="shared" si="9"/>
        <v>47027.5</v>
      </c>
      <c r="L45" s="77">
        <f t="shared" si="9"/>
        <v>47392.75</v>
      </c>
      <c r="M45" s="77">
        <f t="shared" si="9"/>
        <v>47758</v>
      </c>
      <c r="N45" s="76">
        <f t="shared" si="9"/>
        <v>48123.25</v>
      </c>
      <c r="O45" s="77">
        <f t="shared" si="9"/>
        <v>48488.5</v>
      </c>
    </row>
    <row r="46" spans="1:16">
      <c r="A46" s="78" t="s">
        <v>39</v>
      </c>
      <c r="B46" s="79"/>
      <c r="C46" s="79"/>
      <c r="D46" s="79"/>
      <c r="E46" s="80">
        <f>E40-1033</f>
        <v>82722.12</v>
      </c>
      <c r="F46" s="80">
        <f>F40</f>
        <v>89800.73401</v>
      </c>
      <c r="G46" s="80">
        <f>F46*(1+G47)</f>
        <v>93686.516065335018</v>
      </c>
      <c r="H46" s="80">
        <f t="shared" ref="H46:O46" si="10">G46*(1+H47)</f>
        <v>97505.77991610457</v>
      </c>
      <c r="I46" s="80">
        <f t="shared" si="10"/>
        <v>101531.47427062079</v>
      </c>
      <c r="J46" s="80">
        <f t="shared" si="10"/>
        <v>105776.18183315596</v>
      </c>
      <c r="K46" s="80">
        <f t="shared" si="10"/>
        <v>109485.70517967746</v>
      </c>
      <c r="L46" s="80">
        <f t="shared" si="10"/>
        <v>113380.52858589664</v>
      </c>
      <c r="M46" s="80">
        <f t="shared" si="10"/>
        <v>117387.50356727577</v>
      </c>
      <c r="N46" s="80">
        <f t="shared" si="10"/>
        <v>121594.5161300973</v>
      </c>
      <c r="O46" s="80">
        <f t="shared" si="10"/>
        <v>125913.51541013284</v>
      </c>
    </row>
    <row r="47" spans="1:16">
      <c r="A47" s="81" t="s">
        <v>40</v>
      </c>
      <c r="B47" s="82"/>
      <c r="C47" s="82"/>
      <c r="D47" s="82"/>
      <c r="E47" s="83">
        <v>0.22700000000000001</v>
      </c>
      <c r="F47" s="84">
        <f t="shared" ref="F47:O47" si="11">F41</f>
        <v>7.2182023140794319E-2</v>
      </c>
      <c r="G47" s="84">
        <f t="shared" si="11"/>
        <v>4.3271161401668562E-2</v>
      </c>
      <c r="H47" s="84">
        <f t="shared" si="11"/>
        <v>4.0766419877392782E-2</v>
      </c>
      <c r="I47" s="84">
        <f t="shared" si="11"/>
        <v>4.1286725340589948E-2</v>
      </c>
      <c r="J47" s="84">
        <f t="shared" si="11"/>
        <v>4.1806815010105774E-2</v>
      </c>
      <c r="K47" s="84">
        <f t="shared" si="11"/>
        <v>3.506955235321909E-2</v>
      </c>
      <c r="L47" s="84">
        <f t="shared" si="11"/>
        <v>3.5573807556222539E-2</v>
      </c>
      <c r="M47" s="84">
        <f t="shared" si="11"/>
        <v>3.5340944616812635E-2</v>
      </c>
      <c r="N47" s="84">
        <f t="shared" si="11"/>
        <v>3.5838674773507259E-2</v>
      </c>
      <c r="O47" s="84">
        <f t="shared" si="11"/>
        <v>3.5519688037695112E-2</v>
      </c>
      <c r="P47" s="85"/>
    </row>
    <row r="48" spans="1:16">
      <c r="A48" s="86"/>
      <c r="B48" s="87"/>
      <c r="C48" s="87"/>
      <c r="D48" s="87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5"/>
    </row>
    <row r="49" spans="1:16">
      <c r="A49" s="78" t="s">
        <v>41</v>
      </c>
      <c r="B49" s="79"/>
      <c r="C49" s="79"/>
      <c r="D49" s="79"/>
      <c r="E49" s="80">
        <f>E46*E50</f>
        <v>48888.772919999996</v>
      </c>
      <c r="F49" s="80">
        <f t="shared" ref="F49:N49" si="12">F46*F50</f>
        <v>52084.4257258</v>
      </c>
      <c r="G49" s="80">
        <f t="shared" si="12"/>
        <v>53635.530447404301</v>
      </c>
      <c r="H49" s="80">
        <f t="shared" si="12"/>
        <v>55090.765652599075</v>
      </c>
      <c r="I49" s="80">
        <f t="shared" si="12"/>
        <v>56857.62559154765</v>
      </c>
      <c r="J49" s="80">
        <f t="shared" si="12"/>
        <v>58970.221371984451</v>
      </c>
      <c r="K49" s="80">
        <f t="shared" si="12"/>
        <v>60764.566374720998</v>
      </c>
      <c r="L49" s="80">
        <f t="shared" si="12"/>
        <v>62359.290722243153</v>
      </c>
      <c r="M49" s="80">
        <f t="shared" si="12"/>
        <v>63976.189444165298</v>
      </c>
      <c r="N49" s="80">
        <f t="shared" si="12"/>
        <v>65661.038710252542</v>
      </c>
      <c r="O49" s="80">
        <f>O46*O50</f>
        <v>66734.163167370411</v>
      </c>
      <c r="P49" s="85"/>
    </row>
    <row r="50" spans="1:16">
      <c r="A50" s="90" t="s">
        <v>42</v>
      </c>
      <c r="B50" s="91"/>
      <c r="C50" s="91"/>
      <c r="D50" s="91"/>
      <c r="E50" s="92">
        <v>0.59099999999999997</v>
      </c>
      <c r="F50" s="92">
        <v>0.57999999999999996</v>
      </c>
      <c r="G50" s="92">
        <v>0.57250000000000001</v>
      </c>
      <c r="H50" s="92">
        <v>0.56499999999999995</v>
      </c>
      <c r="I50" s="92">
        <v>0.56000000000000005</v>
      </c>
      <c r="J50" s="92">
        <v>0.5575</v>
      </c>
      <c r="K50" s="92">
        <v>0.55500000000000005</v>
      </c>
      <c r="L50" s="92">
        <v>0.55000000000000004</v>
      </c>
      <c r="M50" s="92">
        <v>0.54500000000000004</v>
      </c>
      <c r="N50" s="92">
        <v>0.54</v>
      </c>
      <c r="O50" s="92">
        <v>0.53</v>
      </c>
      <c r="P50" s="85"/>
    </row>
    <row r="51" spans="1:16">
      <c r="A51" s="86"/>
      <c r="B51" s="87"/>
      <c r="C51" s="87"/>
      <c r="D51" s="87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5"/>
    </row>
    <row r="52" spans="1:16">
      <c r="A52" s="78" t="s">
        <v>43</v>
      </c>
      <c r="B52" s="79"/>
      <c r="C52" s="79"/>
      <c r="D52" s="79"/>
      <c r="E52" s="80">
        <f>E46*E53</f>
        <v>5459.6599200000001</v>
      </c>
      <c r="F52" s="80">
        <f t="shared" ref="F52:O52" si="13">F46*F53</f>
        <v>5837.0477106500002</v>
      </c>
      <c r="G52" s="80">
        <f t="shared" si="13"/>
        <v>6089.623544246776</v>
      </c>
      <c r="H52" s="80">
        <f t="shared" si="13"/>
        <v>6337.8756945467976</v>
      </c>
      <c r="I52" s="80">
        <f t="shared" si="13"/>
        <v>6599.545827590352</v>
      </c>
      <c r="J52" s="80">
        <f t="shared" si="13"/>
        <v>6875.4518191551379</v>
      </c>
      <c r="K52" s="80">
        <f t="shared" si="13"/>
        <v>7116.570836679035</v>
      </c>
      <c r="L52" s="80">
        <f t="shared" si="13"/>
        <v>7369.7343580832821</v>
      </c>
      <c r="M52" s="80">
        <f t="shared" si="13"/>
        <v>7630.1877318729248</v>
      </c>
      <c r="N52" s="80">
        <f t="shared" si="13"/>
        <v>7903.6435484563244</v>
      </c>
      <c r="O52" s="80">
        <f t="shared" si="13"/>
        <v>8184.3785016586344</v>
      </c>
      <c r="P52" s="85"/>
    </row>
    <row r="53" spans="1:16">
      <c r="A53" s="90" t="s">
        <v>42</v>
      </c>
      <c r="B53" s="91"/>
      <c r="C53" s="91"/>
      <c r="D53" s="91"/>
      <c r="E53" s="92">
        <v>6.6000000000000003E-2</v>
      </c>
      <c r="F53" s="92">
        <v>6.5000000000000002E-2</v>
      </c>
      <c r="G53" s="92">
        <v>6.5000000000000002E-2</v>
      </c>
      <c r="H53" s="92">
        <v>6.5000000000000002E-2</v>
      </c>
      <c r="I53" s="92">
        <v>6.5000000000000002E-2</v>
      </c>
      <c r="J53" s="92">
        <v>6.5000000000000002E-2</v>
      </c>
      <c r="K53" s="92">
        <v>6.5000000000000002E-2</v>
      </c>
      <c r="L53" s="92">
        <v>6.5000000000000002E-2</v>
      </c>
      <c r="M53" s="92">
        <v>6.5000000000000002E-2</v>
      </c>
      <c r="N53" s="92">
        <v>6.5000000000000002E-2</v>
      </c>
      <c r="O53" s="92">
        <v>6.5000000000000002E-2</v>
      </c>
      <c r="P53" s="85"/>
    </row>
    <row r="54" spans="1:16">
      <c r="A54" s="86"/>
      <c r="B54" s="87"/>
      <c r="C54" s="87"/>
      <c r="D54" s="87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5"/>
    </row>
    <row r="55" spans="1:16">
      <c r="A55" s="78" t="s">
        <v>44</v>
      </c>
      <c r="B55" s="79"/>
      <c r="C55" s="79"/>
      <c r="D55" s="79"/>
      <c r="E55" s="80">
        <f>E46-E49-E52</f>
        <v>28373.687160000001</v>
      </c>
      <c r="F55" s="80">
        <f t="shared" ref="F55:O55" si="14">F46-F49-F52</f>
        <v>31879.26057355</v>
      </c>
      <c r="G55" s="80">
        <f t="shared" si="14"/>
        <v>33961.362073683944</v>
      </c>
      <c r="H55" s="80">
        <f t="shared" si="14"/>
        <v>36077.138568958697</v>
      </c>
      <c r="I55" s="80">
        <f t="shared" si="14"/>
        <v>38074.302851482789</v>
      </c>
      <c r="J55" s="80">
        <f t="shared" si="14"/>
        <v>39930.508642016372</v>
      </c>
      <c r="K55" s="80">
        <f t="shared" si="14"/>
        <v>41604.567968277428</v>
      </c>
      <c r="L55" s="80">
        <f t="shared" si="14"/>
        <v>43651.503505570203</v>
      </c>
      <c r="M55" s="80">
        <f>M46-M49-M52</f>
        <v>45781.126391237543</v>
      </c>
      <c r="N55" s="80">
        <f t="shared" si="14"/>
        <v>48029.83387138843</v>
      </c>
      <c r="O55" s="80">
        <f t="shared" si="14"/>
        <v>50994.973741103793</v>
      </c>
      <c r="P55" s="85"/>
    </row>
    <row r="56" spans="1:16">
      <c r="A56" s="90" t="s">
        <v>42</v>
      </c>
      <c r="B56" s="91"/>
      <c r="C56" s="91"/>
      <c r="D56" s="91"/>
      <c r="E56" s="92">
        <f>E55/E46</f>
        <v>0.34300000000000003</v>
      </c>
      <c r="F56" s="92">
        <f>F55/F46</f>
        <v>0.35499999999999998</v>
      </c>
      <c r="G56" s="92">
        <f t="shared" ref="G56:O56" si="15">G55/G46</f>
        <v>0.36249999999999999</v>
      </c>
      <c r="H56" s="92">
        <f>H55/H46</f>
        <v>0.37000000000000005</v>
      </c>
      <c r="I56" s="92">
        <f t="shared" si="15"/>
        <v>0.37499999999999994</v>
      </c>
      <c r="J56" s="92">
        <f t="shared" si="15"/>
        <v>0.37749999999999995</v>
      </c>
      <c r="K56" s="92">
        <f t="shared" si="15"/>
        <v>0.37999999999999995</v>
      </c>
      <c r="L56" s="92">
        <f t="shared" si="15"/>
        <v>0.38499999999999995</v>
      </c>
      <c r="M56" s="92">
        <f t="shared" si="15"/>
        <v>0.38999999999999996</v>
      </c>
      <c r="N56" s="92">
        <f t="shared" si="15"/>
        <v>0.39499999999999996</v>
      </c>
      <c r="O56" s="92">
        <f t="shared" si="15"/>
        <v>0.40499999999999997</v>
      </c>
      <c r="P56" s="85"/>
    </row>
    <row r="57" spans="1:16">
      <c r="A57" s="93"/>
      <c r="B57" s="94"/>
      <c r="C57" s="94"/>
      <c r="D57" s="94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85"/>
    </row>
    <row r="58" spans="1:16">
      <c r="A58" s="78" t="s">
        <v>45</v>
      </c>
      <c r="B58" s="79"/>
      <c r="C58" s="79"/>
      <c r="D58" s="79"/>
      <c r="E58" s="80">
        <f>E46*E59</f>
        <v>16378.97976</v>
      </c>
      <c r="F58" s="80">
        <f t="shared" ref="F58:O58" si="16">F46*F59</f>
        <v>17511.143131950001</v>
      </c>
      <c r="G58" s="80">
        <f t="shared" si="16"/>
        <v>17800.438052413654</v>
      </c>
      <c r="H58" s="80">
        <f t="shared" si="16"/>
        <v>18038.569284479345</v>
      </c>
      <c r="I58" s="80">
        <f t="shared" si="16"/>
        <v>18275.665368711743</v>
      </c>
      <c r="J58" s="80">
        <f t="shared" si="16"/>
        <v>18510.831820802294</v>
      </c>
      <c r="K58" s="80">
        <f t="shared" si="16"/>
        <v>18612.569880545168</v>
      </c>
      <c r="L58" s="80">
        <f t="shared" si="16"/>
        <v>18991.238538137688</v>
      </c>
      <c r="M58" s="80">
        <f t="shared" si="16"/>
        <v>19368.938088600502</v>
      </c>
      <c r="N58" s="80">
        <f t="shared" si="16"/>
        <v>19759.108871140812</v>
      </c>
      <c r="O58" s="80">
        <f t="shared" si="16"/>
        <v>20146.162465621255</v>
      </c>
      <c r="P58" s="85"/>
    </row>
    <row r="59" spans="1:16">
      <c r="A59" s="90" t="s">
        <v>42</v>
      </c>
      <c r="B59" s="91"/>
      <c r="C59" s="91"/>
      <c r="D59" s="91"/>
      <c r="E59" s="92">
        <v>0.19800000000000001</v>
      </c>
      <c r="F59" s="92">
        <v>0.19500000000000001</v>
      </c>
      <c r="G59" s="92">
        <v>0.19</v>
      </c>
      <c r="H59" s="92">
        <v>0.185</v>
      </c>
      <c r="I59" s="92">
        <v>0.18</v>
      </c>
      <c r="J59" s="92">
        <v>0.17499999999999999</v>
      </c>
      <c r="K59" s="92">
        <v>0.17</v>
      </c>
      <c r="L59" s="92">
        <v>0.16750000000000001</v>
      </c>
      <c r="M59" s="92">
        <v>0.16500000000000001</v>
      </c>
      <c r="N59" s="92">
        <v>0.16250000000000001</v>
      </c>
      <c r="O59" s="92">
        <v>0.16</v>
      </c>
      <c r="P59" s="85"/>
    </row>
    <row r="60" spans="1:16">
      <c r="A60" s="93"/>
      <c r="B60" s="94"/>
      <c r="C60" s="94"/>
      <c r="D60" s="94"/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85"/>
    </row>
    <row r="61" spans="1:16">
      <c r="A61" s="78" t="s">
        <v>46</v>
      </c>
      <c r="B61" s="79"/>
      <c r="C61" s="79"/>
      <c r="D61" s="79"/>
      <c r="E61" s="80">
        <f>E46*E62</f>
        <v>5128.7714399999995</v>
      </c>
      <c r="F61" s="80">
        <f>F46*F62</f>
        <v>5388.0440405999998</v>
      </c>
      <c r="G61" s="80">
        <f t="shared" ref="G61:O61" si="17">G46*G62</f>
        <v>5621.1909639201012</v>
      </c>
      <c r="H61" s="80">
        <f t="shared" si="17"/>
        <v>5850.3467949662736</v>
      </c>
      <c r="I61" s="80">
        <f t="shared" si="17"/>
        <v>6091.8884562372468</v>
      </c>
      <c r="J61" s="80">
        <f t="shared" si="17"/>
        <v>6346.5709099893575</v>
      </c>
      <c r="K61" s="80">
        <f t="shared" si="17"/>
        <v>6569.1423107806477</v>
      </c>
      <c r="L61" s="80">
        <f t="shared" si="17"/>
        <v>6802.8317151537976</v>
      </c>
      <c r="M61" s="80">
        <f t="shared" si="17"/>
        <v>7043.2502140365459</v>
      </c>
      <c r="N61" s="80">
        <f t="shared" si="17"/>
        <v>7295.6709678058378</v>
      </c>
      <c r="O61" s="80">
        <f t="shared" si="17"/>
        <v>7554.8109246079703</v>
      </c>
      <c r="P61" s="85"/>
    </row>
    <row r="62" spans="1:16">
      <c r="A62" s="90" t="s">
        <v>42</v>
      </c>
      <c r="B62" s="91"/>
      <c r="C62" s="91"/>
      <c r="D62" s="91"/>
      <c r="E62" s="92">
        <v>6.2E-2</v>
      </c>
      <c r="F62" s="92">
        <v>0.06</v>
      </c>
      <c r="G62" s="92">
        <v>0.06</v>
      </c>
      <c r="H62" s="92">
        <v>0.06</v>
      </c>
      <c r="I62" s="92">
        <v>0.06</v>
      </c>
      <c r="J62" s="92">
        <v>0.06</v>
      </c>
      <c r="K62" s="92">
        <v>0.06</v>
      </c>
      <c r="L62" s="92">
        <v>0.06</v>
      </c>
      <c r="M62" s="92">
        <v>0.06</v>
      </c>
      <c r="N62" s="92">
        <v>0.06</v>
      </c>
      <c r="O62" s="92">
        <v>0.06</v>
      </c>
      <c r="P62" s="85"/>
    </row>
    <row r="63" spans="1:16">
      <c r="A63" s="93"/>
      <c r="B63" s="94"/>
      <c r="C63" s="94"/>
      <c r="D63" s="94"/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85"/>
    </row>
    <row r="64" spans="1:16">
      <c r="A64" s="78" t="s">
        <v>47</v>
      </c>
      <c r="B64" s="79"/>
      <c r="C64" s="79"/>
      <c r="D64" s="79"/>
      <c r="E64" s="80">
        <f>E55-E58-E61</f>
        <v>6865.9359600000016</v>
      </c>
      <c r="F64" s="80">
        <f>F55-F58-F61</f>
        <v>8980.0734009999996</v>
      </c>
      <c r="G64" s="80">
        <f t="shared" ref="G64:O64" si="18">G55-G58-G61</f>
        <v>10539.733057350189</v>
      </c>
      <c r="H64" s="80">
        <f t="shared" si="18"/>
        <v>12188.222489513078</v>
      </c>
      <c r="I64" s="80">
        <f t="shared" si="18"/>
        <v>13706.749026533798</v>
      </c>
      <c r="J64" s="80">
        <f t="shared" si="18"/>
        <v>15073.10591122472</v>
      </c>
      <c r="K64" s="80">
        <f t="shared" si="18"/>
        <v>16422.855776951612</v>
      </c>
      <c r="L64" s="80">
        <f t="shared" si="18"/>
        <v>17857.433252278715</v>
      </c>
      <c r="M64" s="80">
        <f t="shared" si="18"/>
        <v>19368.938088600495</v>
      </c>
      <c r="N64" s="80">
        <f t="shared" si="18"/>
        <v>20975.054032441782</v>
      </c>
      <c r="O64" s="80">
        <f t="shared" si="18"/>
        <v>23294.000350874569</v>
      </c>
      <c r="P64" s="85"/>
    </row>
    <row r="65" spans="1:16">
      <c r="A65" s="81" t="s">
        <v>42</v>
      </c>
      <c r="B65" s="82"/>
      <c r="C65" s="82"/>
      <c r="D65" s="82"/>
      <c r="E65" s="92">
        <f>E64/E46</f>
        <v>8.3000000000000018E-2</v>
      </c>
      <c r="F65" s="92">
        <f t="shared" ref="F65:O65" si="19">F64/F46</f>
        <v>9.9999999999999992E-2</v>
      </c>
      <c r="G65" s="92">
        <f t="shared" si="19"/>
        <v>0.1125</v>
      </c>
      <c r="H65" s="92">
        <f t="shared" si="19"/>
        <v>0.12500000000000008</v>
      </c>
      <c r="I65" s="92">
        <f t="shared" si="19"/>
        <v>0.13499999999999993</v>
      </c>
      <c r="J65" s="92">
        <f t="shared" si="19"/>
        <v>0.14249999999999996</v>
      </c>
      <c r="K65" s="92">
        <f t="shared" si="19"/>
        <v>0.14999999999999994</v>
      </c>
      <c r="L65" s="92">
        <f t="shared" si="19"/>
        <v>0.15749999999999995</v>
      </c>
      <c r="M65" s="92">
        <f t="shared" si="19"/>
        <v>0.16499999999999995</v>
      </c>
      <c r="N65" s="92">
        <f t="shared" si="19"/>
        <v>0.17249999999999999</v>
      </c>
      <c r="O65" s="92">
        <f t="shared" si="19"/>
        <v>0.18499999999999994</v>
      </c>
      <c r="P65" s="85"/>
    </row>
    <row r="66" spans="1:16">
      <c r="A66" s="86"/>
      <c r="B66" s="87"/>
      <c r="C66" s="87"/>
      <c r="D66" s="8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85"/>
    </row>
    <row r="67" spans="1:16">
      <c r="A67" s="78" t="s">
        <v>48</v>
      </c>
      <c r="B67" s="79"/>
      <c r="C67" s="79"/>
      <c r="D67" s="79"/>
      <c r="E67" s="80">
        <f>E46*E68</f>
        <v>1398.0038279999999</v>
      </c>
      <c r="F67" s="80">
        <f t="shared" ref="F67:O67" si="20">F46*F68</f>
        <v>1347.0110101499999</v>
      </c>
      <c r="G67" s="80">
        <f t="shared" si="20"/>
        <v>1405.2977409800253</v>
      </c>
      <c r="H67" s="80">
        <f t="shared" si="20"/>
        <v>1462.5866987415684</v>
      </c>
      <c r="I67" s="80">
        <f t="shared" si="20"/>
        <v>1522.9721140593117</v>
      </c>
      <c r="J67" s="80">
        <f t="shared" si="20"/>
        <v>1586.6427274973394</v>
      </c>
      <c r="K67" s="80">
        <f t="shared" si="20"/>
        <v>1642.2855776951619</v>
      </c>
      <c r="L67" s="80">
        <f t="shared" si="20"/>
        <v>1700.7079287884494</v>
      </c>
      <c r="M67" s="80">
        <f t="shared" si="20"/>
        <v>1760.8125535091365</v>
      </c>
      <c r="N67" s="80">
        <f t="shared" si="20"/>
        <v>1823.9177419514594</v>
      </c>
      <c r="O67" s="80">
        <f t="shared" si="20"/>
        <v>1888.7027311519926</v>
      </c>
      <c r="P67" s="85"/>
    </row>
    <row r="68" spans="1:16">
      <c r="A68" s="81" t="s">
        <v>42</v>
      </c>
      <c r="B68" s="82"/>
      <c r="C68" s="82"/>
      <c r="D68" s="82"/>
      <c r="E68" s="92">
        <v>1.6899999999999998E-2</v>
      </c>
      <c r="F68" s="92">
        <v>1.4999999999999999E-2</v>
      </c>
      <c r="G68" s="92">
        <v>1.4999999999999999E-2</v>
      </c>
      <c r="H68" s="92">
        <v>1.4999999999999999E-2</v>
      </c>
      <c r="I68" s="92">
        <v>1.4999999999999999E-2</v>
      </c>
      <c r="J68" s="92">
        <v>1.4999999999999999E-2</v>
      </c>
      <c r="K68" s="92">
        <v>1.4999999999999999E-2</v>
      </c>
      <c r="L68" s="92">
        <v>1.4999999999999999E-2</v>
      </c>
      <c r="M68" s="92">
        <v>1.4999999999999999E-2</v>
      </c>
      <c r="N68" s="92">
        <v>1.4999999999999999E-2</v>
      </c>
      <c r="O68" s="92">
        <v>1.4999999999999999E-2</v>
      </c>
      <c r="P68" s="85"/>
    </row>
    <row r="69" spans="1:16">
      <c r="A69" s="86"/>
      <c r="B69" s="87"/>
      <c r="C69" s="87"/>
      <c r="D69" s="8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85"/>
    </row>
    <row r="70" spans="1:16">
      <c r="A70" s="78" t="s">
        <v>49</v>
      </c>
      <c r="B70" s="79"/>
      <c r="C70" s="79"/>
      <c r="D70" s="79"/>
      <c r="E70" s="80">
        <f>(E64-E67)*E71</f>
        <v>1733.3344858440005</v>
      </c>
      <c r="F70" s="80">
        <f t="shared" ref="F70:O70" si="21">F64*F71</f>
        <v>1347.0110101499999</v>
      </c>
      <c r="G70" s="80">
        <f t="shared" si="21"/>
        <v>1580.9599586025283</v>
      </c>
      <c r="H70" s="80">
        <f t="shared" si="21"/>
        <v>1828.2333734269616</v>
      </c>
      <c r="I70" s="80">
        <f t="shared" si="21"/>
        <v>2056.0123539800697</v>
      </c>
      <c r="J70" s="80">
        <f t="shared" si="21"/>
        <v>2260.965886683708</v>
      </c>
      <c r="K70" s="80">
        <f t="shared" si="21"/>
        <v>3448.7997131598386</v>
      </c>
      <c r="L70" s="80">
        <f t="shared" si="21"/>
        <v>3750.0609829785299</v>
      </c>
      <c r="M70" s="80">
        <f t="shared" si="21"/>
        <v>4067.4769986061037</v>
      </c>
      <c r="N70" s="80">
        <f t="shared" si="21"/>
        <v>4404.7613468127738</v>
      </c>
      <c r="O70" s="80">
        <f t="shared" si="21"/>
        <v>4891.7400736836589</v>
      </c>
      <c r="P70" s="85"/>
    </row>
    <row r="71" spans="1:16">
      <c r="A71" s="81" t="s">
        <v>50</v>
      </c>
      <c r="B71" s="82"/>
      <c r="C71" s="82"/>
      <c r="D71" s="82"/>
      <c r="E71" s="92">
        <v>0.317</v>
      </c>
      <c r="F71" s="92">
        <v>0.15</v>
      </c>
      <c r="G71" s="92">
        <v>0.15</v>
      </c>
      <c r="H71" s="92">
        <v>0.15</v>
      </c>
      <c r="I71" s="92">
        <v>0.15</v>
      </c>
      <c r="J71" s="92">
        <v>0.15</v>
      </c>
      <c r="K71" s="92">
        <v>0.21</v>
      </c>
      <c r="L71" s="92">
        <v>0.21</v>
      </c>
      <c r="M71" s="92">
        <v>0.21</v>
      </c>
      <c r="N71" s="92">
        <v>0.21</v>
      </c>
      <c r="O71" s="92">
        <v>0.21</v>
      </c>
      <c r="P71" s="85"/>
    </row>
    <row r="72" spans="1:16">
      <c r="A72" s="86"/>
      <c r="B72" s="87"/>
      <c r="C72" s="87"/>
      <c r="D72" s="8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85"/>
    </row>
    <row r="73" spans="1:16">
      <c r="A73" s="78" t="s">
        <v>46</v>
      </c>
      <c r="B73" s="79"/>
      <c r="C73" s="79"/>
      <c r="D73" s="79"/>
      <c r="E73" s="80">
        <f>E61</f>
        <v>5128.7714399999995</v>
      </c>
      <c r="F73" s="80">
        <f t="shared" ref="F73:O74" si="22">F61</f>
        <v>5388.0440405999998</v>
      </c>
      <c r="G73" s="80">
        <f t="shared" si="22"/>
        <v>5621.1909639201012</v>
      </c>
      <c r="H73" s="80">
        <f t="shared" si="22"/>
        <v>5850.3467949662736</v>
      </c>
      <c r="I73" s="80">
        <f t="shared" si="22"/>
        <v>6091.8884562372468</v>
      </c>
      <c r="J73" s="80">
        <f t="shared" si="22"/>
        <v>6346.5709099893575</v>
      </c>
      <c r="K73" s="80">
        <f t="shared" si="22"/>
        <v>6569.1423107806477</v>
      </c>
      <c r="L73" s="80">
        <f t="shared" si="22"/>
        <v>6802.8317151537976</v>
      </c>
      <c r="M73" s="80">
        <f t="shared" si="22"/>
        <v>7043.2502140365459</v>
      </c>
      <c r="N73" s="80">
        <f t="shared" si="22"/>
        <v>7295.6709678058378</v>
      </c>
      <c r="O73" s="80">
        <f t="shared" si="22"/>
        <v>7554.8109246079703</v>
      </c>
      <c r="P73" s="85"/>
    </row>
    <row r="74" spans="1:16">
      <c r="A74" s="81" t="s">
        <v>42</v>
      </c>
      <c r="B74" s="82"/>
      <c r="C74" s="82"/>
      <c r="D74" s="82"/>
      <c r="E74" s="92">
        <f>E62</f>
        <v>6.2E-2</v>
      </c>
      <c r="F74" s="92">
        <f t="shared" si="22"/>
        <v>0.06</v>
      </c>
      <c r="G74" s="92">
        <f t="shared" si="22"/>
        <v>0.06</v>
      </c>
      <c r="H74" s="92">
        <f t="shared" si="22"/>
        <v>0.06</v>
      </c>
      <c r="I74" s="92">
        <f t="shared" si="22"/>
        <v>0.06</v>
      </c>
      <c r="J74" s="92">
        <f t="shared" si="22"/>
        <v>0.06</v>
      </c>
      <c r="K74" s="92">
        <f t="shared" si="22"/>
        <v>0.06</v>
      </c>
      <c r="L74" s="92">
        <f t="shared" si="22"/>
        <v>0.06</v>
      </c>
      <c r="M74" s="92">
        <f t="shared" si="22"/>
        <v>0.06</v>
      </c>
      <c r="N74" s="92">
        <f t="shared" si="22"/>
        <v>0.06</v>
      </c>
      <c r="O74" s="92">
        <f t="shared" si="22"/>
        <v>0.06</v>
      </c>
      <c r="P74" s="85"/>
    </row>
    <row r="75" spans="1:16">
      <c r="A75" s="86"/>
      <c r="B75" s="87"/>
      <c r="C75" s="87"/>
      <c r="D75" s="8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85"/>
    </row>
    <row r="76" spans="1:16">
      <c r="A76" s="78" t="s">
        <v>51</v>
      </c>
      <c r="B76" s="79"/>
      <c r="C76" s="79"/>
      <c r="D76" s="79"/>
      <c r="E76" s="80">
        <f>E58*E77</f>
        <v>977.8250916720001</v>
      </c>
      <c r="F76" s="80">
        <f t="shared" ref="F76:O76" si="23">F58*F77</f>
        <v>1050.668587917</v>
      </c>
      <c r="G76" s="80">
        <f t="shared" si="23"/>
        <v>1068.0262831448192</v>
      </c>
      <c r="H76" s="80">
        <f t="shared" si="23"/>
        <v>1082.3141570687606</v>
      </c>
      <c r="I76" s="80">
        <f t="shared" si="23"/>
        <v>1096.5399221227046</v>
      </c>
      <c r="J76" s="80">
        <f t="shared" si="23"/>
        <v>1110.6499092481376</v>
      </c>
      <c r="K76" s="80">
        <f t="shared" si="23"/>
        <v>1116.75419283271</v>
      </c>
      <c r="L76" s="80">
        <f t="shared" si="23"/>
        <v>1139.4743122882612</v>
      </c>
      <c r="M76" s="80">
        <f t="shared" si="23"/>
        <v>1162.1362853160301</v>
      </c>
      <c r="N76" s="80">
        <f t="shared" si="23"/>
        <v>1185.5465322684486</v>
      </c>
      <c r="O76" s="80">
        <f t="shared" si="23"/>
        <v>1208.7697479372753</v>
      </c>
      <c r="P76" s="85"/>
    </row>
    <row r="77" spans="1:16">
      <c r="A77" s="81" t="s">
        <v>52</v>
      </c>
      <c r="B77" s="82"/>
      <c r="C77" s="82"/>
      <c r="D77" s="82"/>
      <c r="E77" s="92">
        <v>5.9700000000000003E-2</v>
      </c>
      <c r="F77" s="92">
        <v>0.06</v>
      </c>
      <c r="G77" s="92">
        <v>0.06</v>
      </c>
      <c r="H77" s="92">
        <v>0.06</v>
      </c>
      <c r="I77" s="92">
        <v>0.06</v>
      </c>
      <c r="J77" s="92">
        <v>0.06</v>
      </c>
      <c r="K77" s="92">
        <v>0.06</v>
      </c>
      <c r="L77" s="92">
        <v>0.06</v>
      </c>
      <c r="M77" s="92">
        <v>0.06</v>
      </c>
      <c r="N77" s="92">
        <v>0.06</v>
      </c>
      <c r="O77" s="92">
        <v>0.06</v>
      </c>
      <c r="P77" s="85"/>
    </row>
    <row r="78" spans="1:16">
      <c r="A78" s="86"/>
      <c r="B78" s="87"/>
      <c r="C78" s="87"/>
      <c r="D78" s="8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85"/>
    </row>
    <row r="79" spans="1:16">
      <c r="A79" s="78" t="s">
        <v>53</v>
      </c>
      <c r="B79" s="79"/>
      <c r="C79" s="79"/>
      <c r="D79" s="79"/>
      <c r="E79" s="80">
        <f>E46*E80</f>
        <v>3722.4953999999998</v>
      </c>
      <c r="F79" s="80">
        <f t="shared" ref="F79:O79" si="24">F46*F80</f>
        <v>3143.0256903500003</v>
      </c>
      <c r="G79" s="80">
        <f t="shared" si="24"/>
        <v>1873.7303213067005</v>
      </c>
      <c r="H79" s="80">
        <f t="shared" si="24"/>
        <v>975.05779916104575</v>
      </c>
      <c r="I79" s="80">
        <f t="shared" si="24"/>
        <v>1015.3147427062079</v>
      </c>
      <c r="J79" s="80">
        <f t="shared" si="24"/>
        <v>528.88090916577983</v>
      </c>
      <c r="K79" s="80">
        <f t="shared" si="24"/>
        <v>0</v>
      </c>
      <c r="L79" s="80">
        <f t="shared" si="24"/>
        <v>0</v>
      </c>
      <c r="M79" s="80">
        <f t="shared" si="24"/>
        <v>0</v>
      </c>
      <c r="N79" s="80">
        <f t="shared" si="24"/>
        <v>0</v>
      </c>
      <c r="O79" s="80">
        <f t="shared" si="24"/>
        <v>0</v>
      </c>
      <c r="P79" s="85"/>
    </row>
    <row r="80" spans="1:16">
      <c r="A80" s="81" t="s">
        <v>42</v>
      </c>
      <c r="B80" s="82"/>
      <c r="C80" s="82"/>
      <c r="D80" s="82"/>
      <c r="E80" s="92">
        <v>4.4999999999999998E-2</v>
      </c>
      <c r="F80" s="92">
        <v>3.5000000000000003E-2</v>
      </c>
      <c r="G80" s="92">
        <v>0.02</v>
      </c>
      <c r="H80" s="92">
        <v>0.01</v>
      </c>
      <c r="I80" s="92">
        <v>0.01</v>
      </c>
      <c r="J80" s="92">
        <v>5.0000000000000001E-3</v>
      </c>
      <c r="K80" s="92">
        <v>0</v>
      </c>
      <c r="L80" s="92">
        <v>0</v>
      </c>
      <c r="M80" s="92">
        <v>0</v>
      </c>
      <c r="N80" s="92">
        <v>0</v>
      </c>
      <c r="O80" s="92">
        <v>0</v>
      </c>
      <c r="P80" s="85"/>
    </row>
    <row r="81" spans="1:16">
      <c r="A81" s="86"/>
      <c r="B81" s="87"/>
      <c r="C81" s="87"/>
      <c r="D81" s="8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85"/>
    </row>
    <row r="82" spans="1:16">
      <c r="A82" s="78" t="s">
        <v>54</v>
      </c>
      <c r="B82" s="79"/>
      <c r="C82" s="79"/>
      <c r="D82" s="79"/>
      <c r="E82" s="80">
        <f>E46*E83</f>
        <v>4963.3271999999997</v>
      </c>
      <c r="F82" s="80">
        <f t="shared" ref="F82:O82" si="25">F46*F83</f>
        <v>4939.0403705500003</v>
      </c>
      <c r="G82" s="80">
        <f t="shared" si="25"/>
        <v>4684.3258032667509</v>
      </c>
      <c r="H82" s="80">
        <f t="shared" si="25"/>
        <v>4387.7600962247052</v>
      </c>
      <c r="I82" s="80">
        <f t="shared" si="25"/>
        <v>4061.2589708248315</v>
      </c>
      <c r="J82" s="80">
        <f t="shared" si="25"/>
        <v>4231.0472733262386</v>
      </c>
      <c r="K82" s="80">
        <f t="shared" si="25"/>
        <v>4379.4282071870985</v>
      </c>
      <c r="L82" s="80">
        <f t="shared" si="25"/>
        <v>4535.221143435866</v>
      </c>
      <c r="M82" s="80">
        <f t="shared" si="25"/>
        <v>4695.5001426910303</v>
      </c>
      <c r="N82" s="80">
        <f t="shared" si="25"/>
        <v>4863.7806452038922</v>
      </c>
      <c r="O82" s="80">
        <f t="shared" si="25"/>
        <v>5036.5406164053138</v>
      </c>
      <c r="P82" s="85"/>
    </row>
    <row r="83" spans="1:16">
      <c r="A83" s="81" t="s">
        <v>42</v>
      </c>
      <c r="B83" s="82"/>
      <c r="C83" s="82"/>
      <c r="D83" s="82"/>
      <c r="E83" s="92">
        <v>0.06</v>
      </c>
      <c r="F83" s="92">
        <v>5.5E-2</v>
      </c>
      <c r="G83" s="92">
        <v>0.05</v>
      </c>
      <c r="H83" s="92">
        <v>4.4999999999999998E-2</v>
      </c>
      <c r="I83" s="92">
        <v>0.04</v>
      </c>
      <c r="J83" s="92">
        <v>0.04</v>
      </c>
      <c r="K83" s="92">
        <v>0.04</v>
      </c>
      <c r="L83" s="92">
        <v>0.04</v>
      </c>
      <c r="M83" s="92">
        <v>0.04</v>
      </c>
      <c r="N83" s="92">
        <v>0.04</v>
      </c>
      <c r="O83" s="92">
        <v>0.04</v>
      </c>
      <c r="P83" s="85"/>
    </row>
    <row r="84" spans="1:16" s="53" customFormat="1">
      <c r="A84" s="93"/>
      <c r="B84" s="7"/>
      <c r="C84" s="7"/>
      <c r="D84" s="7"/>
      <c r="E84" s="98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100"/>
    </row>
    <row r="85" spans="1:16" s="53" customFormat="1">
      <c r="A85" s="78" t="s">
        <v>55</v>
      </c>
      <c r="B85" s="79"/>
      <c r="C85" s="79"/>
      <c r="D85" s="79"/>
      <c r="E85" s="80">
        <f>E64-E67-E70+E73+E76-E79-E82</f>
        <v>1155.371577828002</v>
      </c>
      <c r="F85" s="80">
        <f t="shared" ref="F85:O85" si="26">F64-F67-F70+F73+F76-F79-F82</f>
        <v>4642.6979483169989</v>
      </c>
      <c r="G85" s="80">
        <f t="shared" si="26"/>
        <v>7684.6364802591033</v>
      </c>
      <c r="H85" s="80">
        <f t="shared" si="26"/>
        <v>10467.245473993831</v>
      </c>
      <c r="I85" s="80">
        <f t="shared" si="26"/>
        <v>12239.619223323327</v>
      </c>
      <c r="J85" s="80">
        <f t="shared" si="26"/>
        <v>13922.78993378915</v>
      </c>
      <c r="K85" s="80">
        <f t="shared" si="26"/>
        <v>14638.238782522872</v>
      </c>
      <c r="L85" s="80">
        <f t="shared" si="26"/>
        <v>15813.749224517931</v>
      </c>
      <c r="M85" s="80">
        <f t="shared" si="26"/>
        <v>17050.534893146803</v>
      </c>
      <c r="N85" s="80">
        <f t="shared" si="26"/>
        <v>18363.81179854794</v>
      </c>
      <c r="O85" s="80">
        <f t="shared" si="26"/>
        <v>20240.597602178848</v>
      </c>
      <c r="P85" s="100"/>
    </row>
    <row r="86" spans="1:16">
      <c r="A86" s="90" t="s">
        <v>42</v>
      </c>
      <c r="B86" s="91"/>
      <c r="C86" s="91"/>
      <c r="D86" s="91"/>
      <c r="E86" s="92">
        <f>E85/E46</f>
        <v>1.3966900000000025E-2</v>
      </c>
      <c r="F86" s="92">
        <f t="shared" ref="F86:O86" si="27">F85/F46</f>
        <v>5.1699999999999989E-2</v>
      </c>
      <c r="G86" s="92">
        <f t="shared" si="27"/>
        <v>8.2024999999999987E-2</v>
      </c>
      <c r="H86" s="92">
        <f t="shared" si="27"/>
        <v>0.10735000000000006</v>
      </c>
      <c r="I86" s="92">
        <f t="shared" si="27"/>
        <v>0.12054999999999991</v>
      </c>
      <c r="J86" s="92">
        <f t="shared" si="27"/>
        <v>0.13162499999999996</v>
      </c>
      <c r="K86" s="92">
        <f t="shared" si="27"/>
        <v>0.13369999999999996</v>
      </c>
      <c r="L86" s="92">
        <f t="shared" si="27"/>
        <v>0.13947499999999999</v>
      </c>
      <c r="M86" s="92">
        <f t="shared" si="27"/>
        <v>0.14524999999999999</v>
      </c>
      <c r="N86" s="92">
        <f t="shared" si="27"/>
        <v>0.15102499999999996</v>
      </c>
      <c r="O86" s="92">
        <f t="shared" si="27"/>
        <v>0.16074999999999995</v>
      </c>
      <c r="P86" s="101"/>
    </row>
    <row r="87" spans="1:16" s="53" customFormat="1">
      <c r="A87" s="93"/>
      <c r="B87" s="7"/>
      <c r="C87" s="7"/>
      <c r="D87" s="7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3"/>
    </row>
    <row r="88" spans="1:16" s="53" customFormat="1">
      <c r="A88" s="93"/>
      <c r="B88" s="7"/>
      <c r="C88" s="7"/>
      <c r="D88" s="7"/>
      <c r="E88" s="99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3"/>
    </row>
    <row r="89" spans="1:16" s="53" customFormat="1">
      <c r="A89" s="93"/>
      <c r="B89" s="7"/>
      <c r="C89" s="7"/>
      <c r="D89" s="7"/>
      <c r="E89" s="99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3"/>
    </row>
    <row r="90" spans="1:16" s="53" customFormat="1">
      <c r="A90" s="93"/>
      <c r="B90" s="7"/>
      <c r="C90" s="7"/>
      <c r="D90" s="7"/>
      <c r="E90" s="99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3"/>
    </row>
    <row r="91" spans="1:16" s="53" customFormat="1">
      <c r="A91" s="93"/>
      <c r="B91" s="7"/>
      <c r="C91" s="7"/>
      <c r="D91" s="7"/>
      <c r="E91" s="99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3"/>
    </row>
    <row r="92" spans="1:16" s="53" customFormat="1">
      <c r="A92" s="93"/>
      <c r="B92" s="7"/>
      <c r="C92" s="7"/>
      <c r="D92" s="7"/>
      <c r="E92" s="99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3"/>
    </row>
    <row r="93" spans="1:16" s="53" customFormat="1">
      <c r="A93" s="93"/>
      <c r="B93" s="7"/>
      <c r="C93" s="7"/>
      <c r="D93" s="7"/>
      <c r="E93" s="99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3"/>
    </row>
    <row r="94" spans="1:16" s="53" customFormat="1">
      <c r="A94" s="93"/>
      <c r="B94" s="7"/>
      <c r="C94" s="7"/>
      <c r="D94" s="7"/>
      <c r="E94" s="99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3"/>
    </row>
    <row r="95" spans="1:16" s="53" customFormat="1">
      <c r="A95" s="93"/>
      <c r="B95" s="7"/>
      <c r="C95" s="7"/>
      <c r="D95" s="7"/>
      <c r="E95" s="99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3"/>
    </row>
    <row r="96" spans="1:16" s="53" customFormat="1">
      <c r="A96" s="93"/>
      <c r="B96" s="7"/>
      <c r="C96" s="7"/>
      <c r="D96" s="7"/>
      <c r="E96" s="99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3"/>
    </row>
    <row r="97" spans="1:16" s="53" customFormat="1">
      <c r="A97" s="93"/>
      <c r="B97" s="7"/>
      <c r="C97" s="7"/>
      <c r="D97" s="7"/>
      <c r="E97" s="99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3"/>
    </row>
    <row r="98" spans="1:16" s="53" customFormat="1">
      <c r="A98" s="93"/>
      <c r="B98" s="7"/>
      <c r="C98" s="7"/>
      <c r="D98" s="7"/>
      <c r="E98" s="99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3"/>
    </row>
    <row r="99" spans="1:16" s="53" customFormat="1">
      <c r="A99" s="93"/>
      <c r="B99" s="7"/>
      <c r="C99" s="7"/>
      <c r="D99" s="7"/>
      <c r="E99" s="99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3"/>
    </row>
    <row r="100" spans="1:16" s="53" customFormat="1">
      <c r="A100" s="93"/>
      <c r="B100" s="7"/>
      <c r="C100" s="7"/>
      <c r="D100" s="7"/>
      <c r="E100" s="99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3"/>
    </row>
    <row r="101" spans="1:16" s="53" customFormat="1">
      <c r="A101" s="93"/>
      <c r="B101" s="7"/>
      <c r="C101" s="7"/>
      <c r="D101" s="7"/>
      <c r="E101" s="99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3"/>
    </row>
    <row r="102" spans="1:16" s="53" customFormat="1">
      <c r="A102" s="93"/>
      <c r="B102" s="7"/>
      <c r="C102" s="7"/>
      <c r="D102" s="7"/>
      <c r="E102" s="99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3"/>
    </row>
    <row r="103" spans="1:16" s="53" customFormat="1">
      <c r="A103" s="93"/>
      <c r="B103" s="7"/>
      <c r="C103" s="7"/>
      <c r="D103" s="7"/>
      <c r="E103" s="99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3"/>
    </row>
    <row r="104" spans="1:16" s="53" customFormat="1">
      <c r="A104" s="93"/>
      <c r="B104" s="7"/>
      <c r="C104" s="7"/>
      <c r="D104" s="7"/>
      <c r="E104" s="99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3"/>
    </row>
    <row r="105" spans="1:16" s="53" customFormat="1">
      <c r="A105" s="93"/>
      <c r="B105" s="7"/>
      <c r="C105" s="7"/>
      <c r="D105" s="7"/>
      <c r="E105" s="99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3"/>
    </row>
    <row r="106" spans="1:16" s="53" customFormat="1">
      <c r="A106" s="104"/>
      <c r="B106" s="105"/>
      <c r="C106" s="105"/>
      <c r="D106" s="105"/>
      <c r="E106" s="106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3"/>
    </row>
    <row r="107" spans="1:16" s="53" customFormat="1">
      <c r="A107" s="7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03"/>
    </row>
    <row r="108" spans="1:16">
      <c r="A108" s="7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6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6" ht="18">
      <c r="A110" s="13" t="s">
        <v>56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6">
      <c r="A111" s="8"/>
      <c r="B111" s="8"/>
      <c r="C111" s="8"/>
      <c r="D111" s="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1"/>
    </row>
    <row r="112" spans="1:16">
      <c r="A112" s="8" t="s">
        <v>57</v>
      </c>
      <c r="B112" s="8"/>
      <c r="C112" s="8"/>
      <c r="D112" s="8"/>
      <c r="E112" s="109"/>
      <c r="F112" s="109">
        <v>1</v>
      </c>
      <c r="G112" s="109">
        <v>2</v>
      </c>
      <c r="H112" s="109">
        <v>3</v>
      </c>
      <c r="I112" s="109">
        <v>4</v>
      </c>
      <c r="J112" s="109">
        <v>5</v>
      </c>
      <c r="K112" s="109">
        <v>6</v>
      </c>
      <c r="L112" s="109">
        <v>7</v>
      </c>
      <c r="M112" s="109">
        <f>(M45-L45)/365+L112</f>
        <v>8.00068493150685</v>
      </c>
      <c r="N112" s="109">
        <f>(N45-M45)/365+M112</f>
        <v>9.0013698630137</v>
      </c>
      <c r="O112" s="109">
        <f>(O45-N45)/365+N112</f>
        <v>10.00205479452055</v>
      </c>
      <c r="P112" s="101"/>
    </row>
    <row r="113" spans="1:16">
      <c r="A113" s="110" t="s">
        <v>58</v>
      </c>
      <c r="B113" s="110"/>
      <c r="C113" s="110"/>
      <c r="D113" s="11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01"/>
    </row>
    <row r="114" spans="1:16">
      <c r="A114" s="29">
        <f>$B$7-$B$8</f>
        <v>8.6035063657116509E-2</v>
      </c>
      <c r="B114" s="8"/>
      <c r="C114" s="8"/>
      <c r="D114" s="8"/>
      <c r="E114" s="109"/>
      <c r="F114" s="109">
        <f t="shared" ref="F114:N116" si="28">F$85/(1+$A114)^F$112</f>
        <v>4274.9061275085987</v>
      </c>
      <c r="G114" s="109">
        <f t="shared" si="28"/>
        <v>6515.3182450395543</v>
      </c>
      <c r="H114" s="109">
        <f t="shared" si="28"/>
        <v>8171.4827444772545</v>
      </c>
      <c r="I114" s="109">
        <f t="shared" si="28"/>
        <v>8798.1734331437037</v>
      </c>
      <c r="J114" s="109">
        <f t="shared" si="28"/>
        <v>9215.2481645972366</v>
      </c>
      <c r="K114" s="109">
        <f t="shared" si="28"/>
        <v>8921.2507176900108</v>
      </c>
      <c r="L114" s="109">
        <f t="shared" si="28"/>
        <v>8874.1735503218933</v>
      </c>
      <c r="M114" s="109">
        <f t="shared" si="28"/>
        <v>8809.7316671726803</v>
      </c>
      <c r="N114" s="109">
        <f t="shared" si="28"/>
        <v>8736.1304087700973</v>
      </c>
      <c r="O114" s="109">
        <f>(O46*(O86+B11))/(1+$A114)^O$112</f>
        <v>11623.256183149648</v>
      </c>
      <c r="P114" s="101"/>
    </row>
    <row r="115" spans="1:16">
      <c r="A115" s="29">
        <f>$B$7</f>
        <v>8.8535063657116511E-2</v>
      </c>
      <c r="B115" s="8"/>
      <c r="C115" s="8"/>
      <c r="D115" s="8"/>
      <c r="E115" s="109"/>
      <c r="F115" s="109">
        <f t="shared" si="28"/>
        <v>4265.0881017273568</v>
      </c>
      <c r="G115" s="109">
        <f t="shared" si="28"/>
        <v>6485.4256090015851</v>
      </c>
      <c r="H115" s="109">
        <f t="shared" si="28"/>
        <v>8115.3104844251238</v>
      </c>
      <c r="I115" s="109">
        <f t="shared" si="28"/>
        <v>8717.6256361472697</v>
      </c>
      <c r="J115" s="109">
        <f t="shared" si="28"/>
        <v>9109.9114498619147</v>
      </c>
      <c r="K115" s="109">
        <f t="shared" si="28"/>
        <v>8799.0196826526735</v>
      </c>
      <c r="L115" s="109">
        <f t="shared" si="28"/>
        <v>8732.485766364458</v>
      </c>
      <c r="M115" s="109">
        <f t="shared" si="28"/>
        <v>8649.1492078684751</v>
      </c>
      <c r="N115" s="109">
        <f t="shared" si="28"/>
        <v>8557.1778266571673</v>
      </c>
      <c r="O115" s="109">
        <f>O$85/(1+$A115)^O$112</f>
        <v>8664.0988232120417</v>
      </c>
      <c r="P115" s="101"/>
    </row>
    <row r="116" spans="1:16">
      <c r="A116" s="29">
        <f>$B$7+$B$8</f>
        <v>9.1035063657116513E-2</v>
      </c>
      <c r="B116" s="8"/>
      <c r="C116" s="8"/>
      <c r="D116" s="8"/>
      <c r="E116" s="109"/>
      <c r="F116" s="109">
        <f t="shared" si="28"/>
        <v>4255.3150700352526</v>
      </c>
      <c r="G116" s="109">
        <f t="shared" si="28"/>
        <v>6455.7382255894308</v>
      </c>
      <c r="H116" s="109">
        <f t="shared" si="28"/>
        <v>8059.6518980185874</v>
      </c>
      <c r="I116" s="109">
        <f t="shared" si="28"/>
        <v>8637.9975078376192</v>
      </c>
      <c r="J116" s="109">
        <f t="shared" si="28"/>
        <v>9006.0163235028631</v>
      </c>
      <c r="K116" s="109">
        <f t="shared" si="28"/>
        <v>8678.7380096137895</v>
      </c>
      <c r="L116" s="109">
        <f t="shared" si="28"/>
        <v>8593.377498641652</v>
      </c>
      <c r="M116" s="109">
        <f t="shared" si="28"/>
        <v>8491.8521791031471</v>
      </c>
      <c r="N116" s="109">
        <f t="shared" si="28"/>
        <v>8382.2889201166472</v>
      </c>
      <c r="O116" s="109">
        <f>(O46*(O86-B11))/(1+$A116)^O$112</f>
        <v>5833.7961808752534</v>
      </c>
      <c r="P116" s="101"/>
    </row>
    <row r="117" spans="1:16">
      <c r="A117" s="8"/>
      <c r="B117" s="8"/>
      <c r="C117" s="8"/>
      <c r="D117" s="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1"/>
    </row>
    <row r="118" spans="1:16">
      <c r="A118" s="8" t="s">
        <v>59</v>
      </c>
      <c r="B118" s="8"/>
      <c r="C118" s="8"/>
      <c r="D118" s="8"/>
      <c r="E118" s="8"/>
      <c r="F118" s="112"/>
      <c r="G118" s="8"/>
      <c r="H118" s="8"/>
      <c r="I118" s="8"/>
      <c r="J118" s="8"/>
      <c r="K118" s="8"/>
      <c r="L118" s="8"/>
      <c r="M118" s="8"/>
      <c r="N118" s="8"/>
      <c r="O118" s="8"/>
      <c r="P118" s="85"/>
    </row>
    <row r="119" spans="1:16">
      <c r="A119" s="113">
        <f>$B$7-$B$8</f>
        <v>8.6035063657116509E-2</v>
      </c>
      <c r="B119" s="73"/>
      <c r="C119" s="73"/>
      <c r="D119" s="73"/>
      <c r="E119" s="114">
        <f>SUM(F114:O114)</f>
        <v>83939.671241870674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6">
      <c r="A120" s="113">
        <f>$B$7</f>
        <v>8.8535063657116511E-2</v>
      </c>
      <c r="B120" s="73"/>
      <c r="C120" s="73"/>
      <c r="D120" s="73"/>
      <c r="E120" s="114">
        <f>SUM(F115:O115)</f>
        <v>80095.292587918069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6">
      <c r="A121" s="113">
        <f>$B$7+$B$8</f>
        <v>9.1035063657116513E-2</v>
      </c>
      <c r="B121" s="73"/>
      <c r="C121" s="73"/>
      <c r="D121" s="73"/>
      <c r="E121" s="114">
        <f>SUM(F116:O116)</f>
        <v>76394.771813334242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6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6" ht="18">
      <c r="A123" s="13" t="s">
        <v>60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6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6">
      <c r="A125" s="8"/>
      <c r="B125" s="115"/>
      <c r="C125" s="112"/>
      <c r="D125" s="112"/>
      <c r="E125" s="110" t="s">
        <v>61</v>
      </c>
      <c r="F125" s="110"/>
      <c r="G125" s="110"/>
      <c r="H125" s="110"/>
      <c r="I125" s="110"/>
      <c r="J125" s="8"/>
      <c r="K125" s="110" t="s">
        <v>62</v>
      </c>
      <c r="L125" s="110"/>
      <c r="M125" s="110"/>
      <c r="N125" s="110"/>
      <c r="O125" s="110"/>
    </row>
    <row r="126" spans="1:16">
      <c r="A126" s="8" t="s">
        <v>63</v>
      </c>
      <c r="B126" s="115">
        <f>O85</f>
        <v>20240.597602178848</v>
      </c>
      <c r="C126" s="112"/>
      <c r="D126" s="112"/>
      <c r="E126" s="8"/>
      <c r="F126" s="8"/>
      <c r="G126" s="116" t="s">
        <v>10</v>
      </c>
      <c r="H126" s="117"/>
      <c r="I126" s="117"/>
      <c r="J126" s="8"/>
      <c r="K126" s="8"/>
      <c r="L126" s="8"/>
      <c r="M126" s="116" t="s">
        <v>10</v>
      </c>
      <c r="N126" s="117"/>
      <c r="O126" s="117"/>
    </row>
    <row r="127" spans="1:16">
      <c r="A127" s="8" t="s">
        <v>64</v>
      </c>
      <c r="B127" s="115">
        <f>O112</f>
        <v>10.00205479452055</v>
      </c>
      <c r="C127" s="118"/>
      <c r="D127" s="118"/>
      <c r="E127" s="8"/>
      <c r="F127" s="8"/>
      <c r="G127" s="29">
        <f>$B$130-$B$131</f>
        <v>2.5000000000000001E-2</v>
      </c>
      <c r="H127" s="29">
        <f>$B$130</f>
        <v>2.75E-2</v>
      </c>
      <c r="I127" s="29">
        <f>$B$130+$B$131</f>
        <v>0.03</v>
      </c>
      <c r="J127" s="8"/>
      <c r="K127" s="8"/>
      <c r="L127" s="8"/>
      <c r="M127" s="29">
        <f>$B$130-$B$131</f>
        <v>2.5000000000000001E-2</v>
      </c>
      <c r="N127" s="29">
        <f>$B$130</f>
        <v>2.75E-2</v>
      </c>
      <c r="O127" s="29">
        <f>$B$130+$B$131</f>
        <v>0.03</v>
      </c>
    </row>
    <row r="128" spans="1:16">
      <c r="A128" s="8" t="s">
        <v>6</v>
      </c>
      <c r="B128" s="118">
        <f>B7</f>
        <v>8.8535063657116511E-2</v>
      </c>
      <c r="C128" s="118"/>
      <c r="D128" s="118"/>
      <c r="E128" s="119" t="s">
        <v>6</v>
      </c>
      <c r="F128" s="29">
        <f>$B$7-$B$129</f>
        <v>8.6035063657116509E-2</v>
      </c>
      <c r="G128" s="120">
        <f>(O46*(O86-B11)*(1+G$127))/($F128-G$127)</f>
        <v>234185.79454201035</v>
      </c>
      <c r="H128" s="121">
        <f>($B$126*(1+H$127))/($F128-H$127)</f>
        <v>355294.97598334478</v>
      </c>
      <c r="I128" s="122">
        <f>(O46*(O86+B11)*(1+G$127))/($F128-I$127)</f>
        <v>485404.64544557064</v>
      </c>
      <c r="J128" s="8"/>
      <c r="K128" s="119" t="s">
        <v>6</v>
      </c>
      <c r="L128" s="29">
        <f>$B$7-$B$129</f>
        <v>8.6035063657116509E-2</v>
      </c>
      <c r="M128" s="120">
        <f t="shared" ref="M128:O130" si="29">G128/((1+$L128)^$B$127)</f>
        <v>102576.62958876757</v>
      </c>
      <c r="N128" s="121">
        <f t="shared" si="29"/>
        <v>155624.13261431106</v>
      </c>
      <c r="O128" s="122">
        <f t="shared" si="29"/>
        <v>212613.97436130722</v>
      </c>
    </row>
    <row r="129" spans="1:15">
      <c r="A129" s="8" t="s">
        <v>8</v>
      </c>
      <c r="B129" s="118">
        <f>B8</f>
        <v>2.5000000000000001E-3</v>
      </c>
      <c r="C129" s="118"/>
      <c r="D129" s="118"/>
      <c r="E129" s="119"/>
      <c r="F129" s="29">
        <f>$B$7</f>
        <v>8.8535063657116511E-2</v>
      </c>
      <c r="G129" s="123">
        <f>(O46*(O86-B11)*(1+G$127))/($F129-G$127)</f>
        <v>224970.96964603424</v>
      </c>
      <c r="H129" s="109">
        <f>($B$126*(1+H$127))/($F129-H$127)</f>
        <v>340742.0716897028</v>
      </c>
      <c r="I129" s="124">
        <f>(O46*(O86+B11)*(1+G$127))/($F129-I$127)</f>
        <v>464673.28311678988</v>
      </c>
      <c r="J129" s="8"/>
      <c r="K129" s="119"/>
      <c r="L129" s="29">
        <f>$B$7</f>
        <v>8.8535063657116511E-2</v>
      </c>
      <c r="M129" s="123">
        <f t="shared" si="29"/>
        <v>96300.057521881376</v>
      </c>
      <c r="N129" s="109">
        <f t="shared" si="29"/>
        <v>145856.51275571962</v>
      </c>
      <c r="O129" s="124">
        <f t="shared" si="29"/>
        <v>198905.94756929853</v>
      </c>
    </row>
    <row r="130" spans="1:15">
      <c r="A130" s="8" t="s">
        <v>10</v>
      </c>
      <c r="B130" s="118">
        <f>B9</f>
        <v>2.75E-2</v>
      </c>
      <c r="C130" s="118"/>
      <c r="D130" s="118"/>
      <c r="E130" s="119"/>
      <c r="F130" s="29">
        <f>$B$7+$B$129</f>
        <v>9.1035063657116513E-2</v>
      </c>
      <c r="G130" s="125">
        <f>(O46*(O86-B11)*(1+G$127))/($F130-G$127)</f>
        <v>216453.86686810007</v>
      </c>
      <c r="H130" s="126">
        <f>($B$126*(1+H$127))/($F130-H$127)</f>
        <v>327334.43297509447</v>
      </c>
      <c r="I130" s="127">
        <f>(O46*(O86+B11)*(1+G$127))/($F130-I$127)</f>
        <v>445640.23656639893</v>
      </c>
      <c r="J130" s="8"/>
      <c r="K130" s="119"/>
      <c r="L130" s="29">
        <f>$B$7+$B$129</f>
        <v>9.1035063657116513E-2</v>
      </c>
      <c r="M130" s="125">
        <f t="shared" si="29"/>
        <v>90552.514894906402</v>
      </c>
      <c r="N130" s="126">
        <f t="shared" si="29"/>
        <v>136938.90779810006</v>
      </c>
      <c r="O130" s="127">
        <f t="shared" si="29"/>
        <v>186431.61586038454</v>
      </c>
    </row>
    <row r="131" spans="1:15">
      <c r="A131" s="8" t="s">
        <v>12</v>
      </c>
      <c r="B131" s="118">
        <f>B10</f>
        <v>2.5000000000000001E-3</v>
      </c>
      <c r="C131" s="118"/>
      <c r="D131" s="118"/>
      <c r="E131" s="8"/>
      <c r="F131" s="29"/>
      <c r="G131" s="109"/>
      <c r="H131" s="109"/>
      <c r="I131" s="109"/>
      <c r="J131" s="8"/>
      <c r="K131" s="8"/>
      <c r="L131" s="29"/>
      <c r="M131" s="109"/>
      <c r="N131" s="109"/>
      <c r="O131" s="109"/>
    </row>
    <row r="132" spans="1:15">
      <c r="A132" s="8"/>
      <c r="B132" s="118"/>
      <c r="C132" s="118"/>
      <c r="D132" s="118"/>
      <c r="E132" s="8"/>
      <c r="F132" s="8"/>
      <c r="G132" s="8"/>
      <c r="H132" s="8"/>
      <c r="I132" s="8"/>
      <c r="J132" s="8"/>
      <c r="K132" s="8"/>
      <c r="L132" s="29"/>
      <c r="M132" s="109"/>
      <c r="N132" s="109"/>
      <c r="O132" s="109"/>
    </row>
    <row r="133" spans="1:15">
      <c r="A133" s="8"/>
      <c r="B133" s="118"/>
      <c r="C133" s="118"/>
      <c r="D133" s="118"/>
      <c r="E133" s="8"/>
      <c r="F133" s="8"/>
      <c r="G133" s="128"/>
      <c r="H133" s="129"/>
      <c r="I133" s="129"/>
      <c r="J133" s="8"/>
      <c r="K133" s="8"/>
      <c r="L133" s="29"/>
      <c r="M133" s="109"/>
      <c r="N133" s="109"/>
      <c r="O133" s="109"/>
    </row>
    <row r="134" spans="1:15" hidden="1">
      <c r="A134" s="8"/>
      <c r="B134" s="118"/>
      <c r="C134" s="118"/>
      <c r="D134" s="118"/>
      <c r="E134" s="8"/>
      <c r="F134" s="8"/>
      <c r="G134" s="29"/>
      <c r="H134" s="29"/>
      <c r="I134" s="29"/>
      <c r="J134" s="8"/>
      <c r="K134" s="8"/>
      <c r="L134" s="29"/>
      <c r="M134" s="109"/>
      <c r="N134" s="109"/>
      <c r="O134" s="109"/>
    </row>
    <row r="135" spans="1:15" hidden="1">
      <c r="A135" s="8"/>
      <c r="B135" s="118"/>
      <c r="C135" s="118"/>
      <c r="D135" s="118"/>
      <c r="E135" s="130"/>
      <c r="F135" s="131"/>
      <c r="G135" s="132"/>
      <c r="H135" s="132"/>
      <c r="I135" s="132"/>
      <c r="J135" s="132"/>
      <c r="K135" s="132"/>
      <c r="L135" s="132"/>
      <c r="M135" s="109"/>
      <c r="N135" s="109"/>
      <c r="O135" s="109"/>
    </row>
    <row r="136" spans="1:15" hidden="1">
      <c r="A136" s="8"/>
      <c r="B136" s="118"/>
      <c r="C136" s="118"/>
      <c r="D136" s="118"/>
      <c r="E136" s="130"/>
      <c r="F136" s="131"/>
      <c r="G136" s="132"/>
      <c r="H136" s="132"/>
      <c r="I136" s="132"/>
      <c r="J136" s="132"/>
      <c r="K136" s="132"/>
      <c r="L136" s="132"/>
      <c r="M136" s="109"/>
      <c r="N136" s="109"/>
      <c r="O136" s="109"/>
    </row>
    <row r="137" spans="1:15" hidden="1">
      <c r="A137" s="8"/>
      <c r="B137" s="118"/>
      <c r="C137" s="118"/>
      <c r="D137" s="118"/>
      <c r="E137" s="130"/>
      <c r="F137" s="131"/>
      <c r="G137" s="132"/>
      <c r="H137" s="132"/>
      <c r="I137" s="132"/>
      <c r="J137" s="132"/>
      <c r="K137" s="132"/>
      <c r="L137" s="132"/>
      <c r="M137" s="109"/>
      <c r="N137" s="109"/>
      <c r="O137" s="109"/>
    </row>
    <row r="138" spans="1:15" hidden="1">
      <c r="A138" s="8"/>
      <c r="B138" s="118"/>
      <c r="C138" s="118"/>
      <c r="D138" s="118"/>
      <c r="E138" s="133"/>
      <c r="F138" s="29"/>
      <c r="G138" s="134"/>
      <c r="H138" s="134"/>
      <c r="I138" s="134"/>
      <c r="J138" s="132"/>
      <c r="K138" s="132"/>
      <c r="L138" s="132"/>
      <c r="M138" s="109"/>
      <c r="N138" s="109"/>
      <c r="O138" s="109"/>
    </row>
    <row r="139" spans="1:15">
      <c r="A139" s="8"/>
      <c r="B139" s="118"/>
      <c r="C139" s="118"/>
      <c r="D139" s="118"/>
      <c r="E139" s="133"/>
      <c r="F139" s="29"/>
      <c r="G139" s="134"/>
      <c r="H139" s="134"/>
      <c r="I139" s="134"/>
      <c r="J139" s="132"/>
      <c r="K139" s="132"/>
      <c r="L139" s="132"/>
      <c r="M139" s="109"/>
      <c r="N139" s="109"/>
      <c r="O139" s="109"/>
    </row>
    <row r="140" spans="1:15">
      <c r="A140" s="8"/>
      <c r="B140" s="118"/>
      <c r="C140" s="118"/>
      <c r="D140" s="118"/>
      <c r="E140" s="133"/>
      <c r="F140" s="29"/>
      <c r="G140" s="134"/>
      <c r="H140" s="134"/>
      <c r="I140" s="134"/>
      <c r="J140" s="132"/>
      <c r="K140" s="132"/>
      <c r="L140" s="132"/>
      <c r="M140" s="109"/>
      <c r="N140" s="109"/>
      <c r="O140" s="109"/>
    </row>
    <row r="141" spans="1:15">
      <c r="A141" s="8"/>
      <c r="B141" s="118"/>
      <c r="C141" s="118"/>
      <c r="D141" s="118"/>
      <c r="E141" s="133"/>
      <c r="F141" s="29"/>
      <c r="G141" s="134"/>
      <c r="H141" s="134"/>
      <c r="I141" s="134"/>
      <c r="J141" s="132"/>
      <c r="K141" s="132"/>
      <c r="L141" s="132"/>
      <c r="M141" s="109"/>
      <c r="N141" s="109"/>
      <c r="O141" s="109"/>
    </row>
    <row r="142" spans="1:15">
      <c r="A142" s="8"/>
      <c r="B142" s="118"/>
      <c r="C142" s="118"/>
      <c r="D142" s="118"/>
      <c r="E142" s="133"/>
      <c r="F142" s="29"/>
      <c r="G142" s="134"/>
      <c r="H142" s="134"/>
      <c r="I142" s="134"/>
      <c r="J142" s="132"/>
      <c r="K142" s="132"/>
      <c r="L142" s="132"/>
      <c r="M142" s="109"/>
      <c r="N142" s="109"/>
      <c r="O142" s="109"/>
    </row>
    <row r="143" spans="1:15">
      <c r="A143" s="8"/>
      <c r="B143" s="118"/>
      <c r="C143" s="118"/>
      <c r="D143" s="118"/>
      <c r="E143" s="133"/>
      <c r="F143" s="29"/>
      <c r="G143" s="134"/>
      <c r="H143" s="134"/>
      <c r="I143" s="134"/>
      <c r="J143" s="132"/>
      <c r="K143" s="132"/>
      <c r="L143" s="132"/>
      <c r="M143" s="109"/>
      <c r="N143" s="109"/>
      <c r="O143" s="109"/>
    </row>
    <row r="144" spans="1:15">
      <c r="A144" s="8"/>
      <c r="B144" s="118"/>
      <c r="C144" s="118"/>
      <c r="D144" s="118"/>
      <c r="E144" s="133"/>
      <c r="F144" s="29"/>
      <c r="G144" s="134"/>
      <c r="H144" s="134"/>
      <c r="I144" s="134"/>
      <c r="J144" s="132"/>
      <c r="K144" s="132"/>
      <c r="L144" s="132"/>
      <c r="M144" s="109"/>
      <c r="N144" s="109"/>
      <c r="O144" s="109"/>
    </row>
    <row r="145" spans="1:15">
      <c r="A145" s="8"/>
      <c r="B145" s="118"/>
      <c r="C145" s="118"/>
      <c r="D145" s="118"/>
      <c r="E145" s="133"/>
      <c r="F145" s="29"/>
      <c r="G145" s="134"/>
      <c r="H145" s="134"/>
      <c r="I145" s="134"/>
      <c r="J145" s="132"/>
      <c r="K145" s="132"/>
      <c r="L145" s="132"/>
      <c r="M145" s="109"/>
      <c r="N145" s="109"/>
      <c r="O145" s="109"/>
    </row>
    <row r="146" spans="1:15">
      <c r="B146" s="118"/>
      <c r="C146" s="118"/>
      <c r="D146" s="118"/>
      <c r="E146" s="133"/>
      <c r="F146" s="29"/>
      <c r="G146" s="134"/>
      <c r="H146" s="134"/>
      <c r="I146" s="134"/>
      <c r="J146" s="132"/>
      <c r="K146" s="132"/>
      <c r="L146" s="132"/>
      <c r="M146" s="109"/>
      <c r="N146" s="109"/>
      <c r="O146" s="109"/>
    </row>
    <row r="147" spans="1:15">
      <c r="A147" s="8"/>
      <c r="B147" s="118"/>
      <c r="C147" s="118"/>
      <c r="D147" s="118"/>
      <c r="E147" s="133"/>
      <c r="F147" s="29"/>
      <c r="G147" s="134"/>
      <c r="H147" s="134"/>
      <c r="I147" s="134"/>
      <c r="J147" s="132"/>
      <c r="K147" s="132"/>
      <c r="L147" s="132"/>
      <c r="M147" s="109"/>
      <c r="N147" s="109"/>
      <c r="O147" s="109"/>
    </row>
    <row r="148" spans="1:15">
      <c r="A148" s="8"/>
      <c r="B148" s="118"/>
      <c r="C148" s="118"/>
      <c r="D148" s="118"/>
      <c r="E148" s="133"/>
      <c r="F148" s="29"/>
      <c r="G148" s="134"/>
      <c r="H148" s="134"/>
      <c r="I148" s="134"/>
      <c r="J148" s="132"/>
      <c r="K148" s="132"/>
      <c r="L148" s="132"/>
      <c r="M148" s="109"/>
      <c r="N148" s="109"/>
      <c r="O148" s="109"/>
    </row>
    <row r="149" spans="1:15">
      <c r="A149" s="8"/>
      <c r="B149" s="118"/>
      <c r="C149" s="118"/>
      <c r="D149" s="118"/>
      <c r="E149" s="133"/>
      <c r="F149" s="29"/>
      <c r="G149" s="134"/>
      <c r="H149" s="134"/>
      <c r="I149" s="134"/>
      <c r="J149" s="132"/>
      <c r="K149" s="132"/>
      <c r="L149" s="132"/>
      <c r="M149" s="109"/>
      <c r="N149" s="109"/>
      <c r="O149" s="109"/>
    </row>
    <row r="150" spans="1:15">
      <c r="A150" s="8"/>
      <c r="B150" s="118"/>
      <c r="C150" s="118"/>
      <c r="D150" s="118"/>
      <c r="E150" s="133"/>
      <c r="F150" s="29"/>
      <c r="G150" s="134"/>
      <c r="H150" s="134"/>
      <c r="I150" s="134"/>
      <c r="J150" s="132"/>
      <c r="K150" s="132"/>
      <c r="L150" s="132"/>
      <c r="M150" s="109"/>
      <c r="N150" s="109"/>
      <c r="O150" s="109"/>
    </row>
    <row r="151" spans="1:15">
      <c r="A151" s="8"/>
      <c r="B151" s="118"/>
      <c r="C151" s="118"/>
      <c r="D151" s="118"/>
      <c r="E151" s="133"/>
      <c r="F151" s="29"/>
      <c r="G151" s="134"/>
      <c r="H151" s="134"/>
      <c r="I151" s="134"/>
      <c r="J151" s="132"/>
      <c r="K151" s="132"/>
      <c r="L151" s="132"/>
      <c r="M151" s="109"/>
      <c r="N151" s="109"/>
      <c r="O151" s="109"/>
    </row>
    <row r="152" spans="1:15">
      <c r="A152" s="8"/>
      <c r="B152" s="118"/>
      <c r="C152" s="118"/>
      <c r="D152" s="118"/>
      <c r="E152" s="133"/>
      <c r="F152" s="29"/>
      <c r="G152" s="134"/>
      <c r="H152" s="134"/>
      <c r="I152" s="134"/>
      <c r="J152" s="132"/>
      <c r="K152" s="132"/>
      <c r="L152" s="132"/>
      <c r="M152" s="109"/>
      <c r="N152" s="109"/>
      <c r="O152" s="109"/>
    </row>
    <row r="153" spans="1:15">
      <c r="A153" s="8"/>
      <c r="B153" s="118"/>
      <c r="C153" s="118"/>
      <c r="D153" s="118"/>
      <c r="E153" s="133"/>
      <c r="F153" s="29"/>
      <c r="G153" s="134"/>
      <c r="H153" s="134"/>
      <c r="I153" s="134"/>
      <c r="J153" s="132"/>
      <c r="K153" s="132"/>
      <c r="L153" s="132"/>
      <c r="M153" s="109"/>
      <c r="N153" s="109"/>
      <c r="O153" s="109"/>
    </row>
    <row r="154" spans="1: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8" customHeight="1">
      <c r="A155" s="13" t="s">
        <v>65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1: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7.25">
      <c r="A157" s="8"/>
      <c r="B157" s="8"/>
      <c r="C157" s="8"/>
      <c r="D157" s="8"/>
      <c r="E157" s="135" t="str">
        <f>"Perpetual Growth Rate = "&amp;TEXT($G$127,"0.00%")</f>
        <v>Perpetual Growth Rate = 2.50%</v>
      </c>
      <c r="F157" s="136"/>
      <c r="G157" s="136"/>
      <c r="H157" s="8"/>
      <c r="I157" s="135" t="str">
        <f>"Perpetual Growth Rate = "&amp;TEXT($H$127,"0.00%")</f>
        <v>Perpetual Growth Rate = 2.75%</v>
      </c>
      <c r="J157" s="136"/>
      <c r="K157" s="136"/>
      <c r="L157" s="8"/>
      <c r="M157" s="135" t="str">
        <f>"Perpetual Growth Rate = "&amp;TEXT($I$127,"0.00%")</f>
        <v>Perpetual Growth Rate = 3.00%</v>
      </c>
      <c r="N157" s="136"/>
      <c r="O157" s="136"/>
    </row>
    <row r="158" spans="1:15">
      <c r="A158" s="8" t="s">
        <v>6</v>
      </c>
      <c r="B158" s="8"/>
      <c r="C158" s="8"/>
      <c r="D158" s="8"/>
      <c r="E158" s="29">
        <f>$B$7-$B$129</f>
        <v>8.6035063657116509E-2</v>
      </c>
      <c r="F158" s="29">
        <f>$B$7</f>
        <v>8.8535063657116511E-2</v>
      </c>
      <c r="G158" s="29">
        <f>$B$7+$B$129</f>
        <v>9.1035063657116513E-2</v>
      </c>
      <c r="H158" s="8"/>
      <c r="I158" s="29">
        <f>$B$7-$B$129</f>
        <v>8.6035063657116509E-2</v>
      </c>
      <c r="J158" s="29">
        <f>$B$7</f>
        <v>8.8535063657116511E-2</v>
      </c>
      <c r="K158" s="29">
        <f>$B$7+$B$129</f>
        <v>9.1035063657116513E-2</v>
      </c>
      <c r="L158" s="8"/>
      <c r="M158" s="29">
        <f>$B$7-$B$129</f>
        <v>8.6035063657116509E-2</v>
      </c>
      <c r="N158" s="29">
        <f>$B$7</f>
        <v>8.8535063657116511E-2</v>
      </c>
      <c r="O158" s="29">
        <f>$B$7+$B$129</f>
        <v>9.1035063657116513E-2</v>
      </c>
    </row>
    <row r="159" spans="1:15">
      <c r="A159" s="110" t="s">
        <v>66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</row>
    <row r="160" spans="1:15">
      <c r="A160" s="8" t="s">
        <v>67</v>
      </c>
      <c r="B160" s="8"/>
      <c r="C160" s="8"/>
      <c r="D160" s="8"/>
      <c r="E160" s="112">
        <f>$E$119</f>
        <v>83939.671241870674</v>
      </c>
      <c r="F160" s="112">
        <f>$E$120</f>
        <v>80095.292587918069</v>
      </c>
      <c r="G160" s="112">
        <f>$E$121</f>
        <v>76394.771813334242</v>
      </c>
      <c r="H160" s="8"/>
      <c r="I160" s="112">
        <f>$E$119</f>
        <v>83939.671241870674</v>
      </c>
      <c r="J160" s="112">
        <f>$E$120</f>
        <v>80095.292587918069</v>
      </c>
      <c r="K160" s="112">
        <f>$E$121</f>
        <v>76394.771813334242</v>
      </c>
      <c r="L160" s="8"/>
      <c r="M160" s="112">
        <f>$E$119</f>
        <v>83939.671241870674</v>
      </c>
      <c r="N160" s="112">
        <f>$E$120</f>
        <v>80095.292587918069</v>
      </c>
      <c r="O160" s="112">
        <f>$E$121</f>
        <v>76394.771813334242</v>
      </c>
    </row>
    <row r="161" spans="1:16" ht="16.5" customHeight="1">
      <c r="A161" s="8" t="s">
        <v>68</v>
      </c>
      <c r="B161" s="8"/>
      <c r="C161" s="8"/>
      <c r="D161" s="8"/>
      <c r="E161" s="112">
        <f>M128</f>
        <v>102576.62958876757</v>
      </c>
      <c r="F161" s="112">
        <f>M129</f>
        <v>96300.057521881376</v>
      </c>
      <c r="G161" s="112">
        <f>M130</f>
        <v>90552.514894906402</v>
      </c>
      <c r="H161" s="8"/>
      <c r="I161" s="112">
        <f>N128</f>
        <v>155624.13261431106</v>
      </c>
      <c r="J161" s="112">
        <f>N129</f>
        <v>145856.51275571962</v>
      </c>
      <c r="K161" s="112">
        <f>N130</f>
        <v>136938.90779810006</v>
      </c>
      <c r="L161" s="8"/>
      <c r="M161" s="112">
        <f>O128</f>
        <v>212613.97436130722</v>
      </c>
      <c r="N161" s="112">
        <f>O129</f>
        <v>198905.94756929853</v>
      </c>
      <c r="O161" s="112">
        <f>O130</f>
        <v>186431.61586038454</v>
      </c>
    </row>
    <row r="162" spans="1:16" s="5" customFormat="1">
      <c r="A162" s="137" t="s">
        <v>69</v>
      </c>
      <c r="B162" s="137"/>
      <c r="C162" s="137"/>
      <c r="D162" s="137"/>
      <c r="E162" s="138">
        <f>E160+E161</f>
        <v>186516.30083063824</v>
      </c>
      <c r="F162" s="138">
        <f>F160+F161</f>
        <v>176395.35010979944</v>
      </c>
      <c r="G162" s="138">
        <f>G160+G161</f>
        <v>166947.28670824063</v>
      </c>
      <c r="H162" s="138"/>
      <c r="I162" s="138">
        <f>I160+I161</f>
        <v>239563.80385618174</v>
      </c>
      <c r="J162" s="138">
        <f>J160+J161</f>
        <v>225951.80534363771</v>
      </c>
      <c r="K162" s="138">
        <f>K160+K161</f>
        <v>213333.67961143429</v>
      </c>
      <c r="L162" s="138"/>
      <c r="M162" s="138">
        <f>M160+M161</f>
        <v>296553.64560317789</v>
      </c>
      <c r="N162" s="138">
        <f>N160+N161</f>
        <v>279001.24015721661</v>
      </c>
      <c r="O162" s="138">
        <f>O160+O161</f>
        <v>262826.3876737188</v>
      </c>
    </row>
    <row r="163" spans="1:16" s="5" customFormat="1">
      <c r="A163" s="139" t="s">
        <v>70</v>
      </c>
      <c r="B163" s="137"/>
      <c r="C163" s="137"/>
      <c r="D163" s="137"/>
      <c r="E163" s="140">
        <f>44544+2645</f>
        <v>47189</v>
      </c>
      <c r="F163" s="140">
        <f t="shared" ref="F163:O163" si="30">44544+2645</f>
        <v>47189</v>
      </c>
      <c r="G163" s="140">
        <f t="shared" si="30"/>
        <v>47189</v>
      </c>
      <c r="H163" s="140"/>
      <c r="I163" s="140">
        <f t="shared" si="30"/>
        <v>47189</v>
      </c>
      <c r="J163" s="140">
        <f t="shared" si="30"/>
        <v>47189</v>
      </c>
      <c r="K163" s="140">
        <f t="shared" si="30"/>
        <v>47189</v>
      </c>
      <c r="L163" s="140"/>
      <c r="M163" s="140">
        <f t="shared" si="30"/>
        <v>47189</v>
      </c>
      <c r="N163" s="140">
        <f t="shared" si="30"/>
        <v>47189</v>
      </c>
      <c r="O163" s="140">
        <f t="shared" si="30"/>
        <v>47189</v>
      </c>
    </row>
    <row r="164" spans="1:16" s="5" customFormat="1">
      <c r="A164" s="139" t="s">
        <v>71</v>
      </c>
      <c r="B164" s="137"/>
      <c r="C164" s="137"/>
      <c r="D164" s="137"/>
      <c r="E164" s="140">
        <v>11458</v>
      </c>
      <c r="F164" s="140">
        <v>11458</v>
      </c>
      <c r="G164" s="140">
        <v>11458</v>
      </c>
      <c r="H164" s="140"/>
      <c r="I164" s="140">
        <v>11458</v>
      </c>
      <c r="J164" s="140">
        <v>11458</v>
      </c>
      <c r="K164" s="140">
        <v>11458</v>
      </c>
      <c r="L164" s="140"/>
      <c r="M164" s="140">
        <v>11458</v>
      </c>
      <c r="N164" s="140">
        <v>11458</v>
      </c>
      <c r="O164" s="140">
        <v>11458</v>
      </c>
    </row>
    <row r="165" spans="1:16" s="5" customFormat="1">
      <c r="A165" s="137" t="s">
        <v>72</v>
      </c>
      <c r="B165" s="137"/>
      <c r="C165" s="137"/>
      <c r="D165" s="137"/>
      <c r="E165" s="141">
        <f>E162-E163+E164</f>
        <v>150785.30083063824</v>
      </c>
      <c r="F165" s="141">
        <f t="shared" ref="F165:O165" si="31">F162-F163+F164</f>
        <v>140664.35010979944</v>
      </c>
      <c r="G165" s="141">
        <f t="shared" si="31"/>
        <v>131216.28670824063</v>
      </c>
      <c r="H165" s="141"/>
      <c r="I165" s="141">
        <f t="shared" si="31"/>
        <v>203832.80385618174</v>
      </c>
      <c r="J165" s="141">
        <f t="shared" si="31"/>
        <v>190220.80534363771</v>
      </c>
      <c r="K165" s="141">
        <f t="shared" si="31"/>
        <v>177602.67961143429</v>
      </c>
      <c r="L165" s="141"/>
      <c r="M165" s="141">
        <f t="shared" si="31"/>
        <v>260822.64560317789</v>
      </c>
      <c r="N165" s="141">
        <f t="shared" si="31"/>
        <v>243270.24015721661</v>
      </c>
      <c r="O165" s="141">
        <f t="shared" si="31"/>
        <v>227095.3876737188</v>
      </c>
    </row>
    <row r="166" spans="1:16" s="5" customFormat="1">
      <c r="A166" s="137" t="s">
        <v>73</v>
      </c>
      <c r="B166" s="137"/>
      <c r="C166" s="137"/>
      <c r="D166" s="137"/>
      <c r="E166" s="142">
        <f>E165/$B$168</f>
        <v>82.441389191163609</v>
      </c>
      <c r="F166" s="142">
        <f>F165/$B$168</f>
        <v>76.907791202733435</v>
      </c>
      <c r="G166" s="142">
        <f>G165/$B$168</f>
        <v>71.742092240700174</v>
      </c>
      <c r="H166" s="142"/>
      <c r="I166" s="142">
        <f>I165/$B$168</f>
        <v>111.44494469993533</v>
      </c>
      <c r="J166" s="142">
        <f>J165/$B$168</f>
        <v>104.0026273065269</v>
      </c>
      <c r="K166" s="142">
        <f>K165/$B$168</f>
        <v>97.103706731237992</v>
      </c>
      <c r="L166" s="142"/>
      <c r="M166" s="142">
        <f>M165/$B$168</f>
        <v>142.60396151075884</v>
      </c>
      <c r="N166" s="142">
        <f>N165/$B$168</f>
        <v>133.00723901433386</v>
      </c>
      <c r="O166" s="142">
        <f>O165/$B$168</f>
        <v>124.16368926939245</v>
      </c>
    </row>
    <row r="167" spans="1:16" s="5" customFormat="1" ht="15" customHeight="1">
      <c r="A167" s="8"/>
      <c r="B167" s="8"/>
      <c r="C167" s="8"/>
      <c r="D167" s="8"/>
      <c r="E167" s="132"/>
      <c r="F167" s="132"/>
      <c r="G167" s="8"/>
      <c r="H167" s="8"/>
      <c r="I167" s="8"/>
      <c r="J167" s="8"/>
      <c r="K167" s="8"/>
      <c r="L167" s="8"/>
      <c r="M167" s="8"/>
      <c r="N167" s="8"/>
      <c r="O167" s="8"/>
    </row>
    <row r="168" spans="1:16" ht="18.75">
      <c r="A168" s="143" t="s">
        <v>74</v>
      </c>
      <c r="B168" s="144">
        <v>1829</v>
      </c>
      <c r="C168" s="7"/>
      <c r="D168" s="145"/>
      <c r="E168" s="146">
        <f>B168*B169</f>
        <v>177348.98500000002</v>
      </c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</row>
    <row r="169" spans="1:16" s="53" customFormat="1" ht="19.5" thickBot="1">
      <c r="A169" s="147" t="s">
        <v>75</v>
      </c>
      <c r="B169" s="148">
        <v>96.965000000000003</v>
      </c>
      <c r="C169" s="149"/>
      <c r="D169" s="150" t="s">
        <v>76</v>
      </c>
      <c r="E169" s="151" t="s">
        <v>77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3"/>
    </row>
    <row r="170" spans="1:16" s="53" customFormat="1" ht="18.75">
      <c r="A170" s="152" t="s">
        <v>78</v>
      </c>
      <c r="B170" s="153">
        <f>(J166-B169)/B169</f>
        <v>7.2579047146154804E-2</v>
      </c>
      <c r="C170" s="7"/>
      <c r="D170" s="154">
        <f>J166</f>
        <v>104.0026273065269</v>
      </c>
      <c r="E170" s="155">
        <f>J166*B168</f>
        <v>190220.80534363771</v>
      </c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3"/>
    </row>
    <row r="171" spans="1:16" s="53" customFormat="1" ht="18.75">
      <c r="A171" s="152" t="s">
        <v>79</v>
      </c>
      <c r="B171" s="153">
        <f>(M166-B169)/B169</f>
        <v>0.47067458888009933</v>
      </c>
      <c r="C171" s="7"/>
      <c r="D171" s="154">
        <f>M166</f>
        <v>142.60396151075884</v>
      </c>
      <c r="E171" s="155">
        <f>M166*B168</f>
        <v>260822.64560317792</v>
      </c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3"/>
    </row>
    <row r="172" spans="1:16" s="53" customFormat="1" ht="18.75">
      <c r="A172" s="152" t="s">
        <v>80</v>
      </c>
      <c r="B172" s="156">
        <f>(G166-B169)/B169</f>
        <v>-0.26012383601608652</v>
      </c>
      <c r="C172" s="1"/>
      <c r="D172" s="154">
        <f>G166</f>
        <v>71.742092240700174</v>
      </c>
      <c r="E172" s="155">
        <f>G166*B168</f>
        <v>131216.28670824063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03"/>
    </row>
    <row r="173" spans="1:16" ht="18" hidden="1">
      <c r="A173"/>
      <c r="B173"/>
      <c r="D173" s="157"/>
      <c r="I173" s="158"/>
      <c r="J173" s="158"/>
    </row>
    <row r="174" spans="1:16" ht="19.5" hidden="1" thickBot="1">
      <c r="A174" s="159" t="s">
        <v>81</v>
      </c>
      <c r="B174" s="160" t="s">
        <v>82</v>
      </c>
      <c r="I174" s="158"/>
      <c r="J174" s="158"/>
    </row>
    <row r="175" spans="1:16" ht="18" hidden="1">
      <c r="A175" s="161" t="s">
        <v>83</v>
      </c>
      <c r="B175" s="162">
        <f>((O46*0.2)*12.5)/$B$168</f>
        <v>172.10704676070645</v>
      </c>
    </row>
    <row r="176" spans="1:16" ht="18" hidden="1">
      <c r="A176" s="152" t="s">
        <v>84</v>
      </c>
      <c r="B176" s="162">
        <f>((O46*0.2)*15)/$B$168</f>
        <v>206.52845611284775</v>
      </c>
      <c r="F176" s="163"/>
    </row>
    <row r="177" spans="1:5" ht="18" hidden="1">
      <c r="A177" s="152" t="s">
        <v>85</v>
      </c>
      <c r="B177" s="162">
        <f>((O46*0.2)*20)/$B$168</f>
        <v>275.37127481713031</v>
      </c>
    </row>
    <row r="178" spans="1:5" hidden="1">
      <c r="A178" s="53"/>
      <c r="B178" s="53"/>
    </row>
    <row r="179" spans="1:5" ht="18.75" hidden="1">
      <c r="A179" s="164" t="s">
        <v>86</v>
      </c>
      <c r="B179" s="165" t="s">
        <v>87</v>
      </c>
    </row>
    <row r="181" spans="1:5" ht="19.5" thickBot="1">
      <c r="A181" s="166" t="s">
        <v>69</v>
      </c>
      <c r="B181" s="167">
        <f>E168-E164+E163</f>
        <v>213079.98500000002</v>
      </c>
    </row>
    <row r="182" spans="1:5" ht="18">
      <c r="A182" s="152" t="s">
        <v>88</v>
      </c>
      <c r="B182" s="168">
        <f>$B$181/E46</f>
        <v>2.5758525651905444</v>
      </c>
      <c r="D182" s="169"/>
    </row>
    <row r="183" spans="1:5" ht="18">
      <c r="A183" s="152" t="s">
        <v>89</v>
      </c>
      <c r="B183" s="168">
        <f>$B$181/F46</f>
        <v>2.3728089458185488</v>
      </c>
    </row>
    <row r="184" spans="1:5" ht="18">
      <c r="A184" s="152" t="s">
        <v>90</v>
      </c>
      <c r="B184" s="168">
        <f>$B$181/G46</f>
        <v>2.2743933059844226</v>
      </c>
    </row>
    <row r="187" spans="1:5" ht="18.75">
      <c r="A187" s="164" t="s">
        <v>91</v>
      </c>
    </row>
    <row r="188" spans="1:5">
      <c r="A188"/>
    </row>
    <row r="189" spans="1:5" ht="18">
      <c r="E189" s="170"/>
    </row>
    <row r="190" spans="1:5" ht="22.5" customHeight="1">
      <c r="E190" s="170" t="s">
        <v>92</v>
      </c>
    </row>
    <row r="191" spans="1:5" ht="26.25" customHeight="1">
      <c r="E191" s="171">
        <f>F46</f>
        <v>89800.73401</v>
      </c>
    </row>
    <row r="192" spans="1:5" ht="23.25" customHeight="1">
      <c r="E192" s="172">
        <f>G46</f>
        <v>93686.516065335018</v>
      </c>
    </row>
    <row r="193" spans="1:9" ht="23.25" customHeight="1">
      <c r="E193" s="172">
        <f>H46</f>
        <v>97505.77991610457</v>
      </c>
    </row>
    <row r="194" spans="1:9" ht="23.25" customHeight="1">
      <c r="E194" s="172"/>
    </row>
    <row r="195" spans="1:9">
      <c r="E195" s="173"/>
    </row>
    <row r="196" spans="1:9" ht="18.75">
      <c r="A196" s="164" t="s">
        <v>93</v>
      </c>
    </row>
    <row r="199" spans="1:9" ht="15" customHeight="1">
      <c r="E199" s="170" t="s">
        <v>92</v>
      </c>
      <c r="F199" s="170"/>
      <c r="G199" s="170"/>
      <c r="H199" s="170"/>
      <c r="I199" s="174"/>
    </row>
    <row r="200" spans="1:9" ht="24" customHeight="1">
      <c r="E200" s="175">
        <f>F64+F73+F76</f>
        <v>15418.786029516999</v>
      </c>
      <c r="F200" s="176"/>
      <c r="H200" s="177"/>
      <c r="I200" s="178"/>
    </row>
    <row r="201" spans="1:9" ht="24" customHeight="1">
      <c r="E201" s="175">
        <f>G64+G73+G76</f>
        <v>17228.95030441511</v>
      </c>
      <c r="F201" s="179"/>
      <c r="H201" s="171"/>
      <c r="I201" s="178"/>
    </row>
    <row r="202" spans="1:9" ht="24.75" customHeight="1">
      <c r="E202" s="175">
        <f>H64+H73+H76</f>
        <v>19120.883441548114</v>
      </c>
      <c r="F202" s="179"/>
      <c r="H202" s="171"/>
      <c r="I202" s="178"/>
    </row>
    <row r="203" spans="1:9" ht="22.5" customHeight="1">
      <c r="E203" s="175"/>
      <c r="F203" s="179"/>
      <c r="G203" s="180"/>
      <c r="H203" s="181"/>
      <c r="I203" s="182"/>
    </row>
    <row r="207" spans="1:9" ht="20.25">
      <c r="A207" s="183"/>
    </row>
    <row r="226" spans="1:1" ht="16.5">
      <c r="A226" s="184"/>
    </row>
    <row r="227" spans="1:1" ht="16.5">
      <c r="A227" s="184"/>
    </row>
    <row r="228" spans="1:1" ht="16.5">
      <c r="A228" s="184"/>
    </row>
    <row r="229" spans="1:1">
      <c r="A229" s="53"/>
    </row>
    <row r="232" spans="1:1" ht="19.5" customHeight="1"/>
    <row r="253" spans="1:1">
      <c r="A253" s="185"/>
    </row>
    <row r="254" spans="1:1">
      <c r="A254" s="185" t="s">
        <v>94</v>
      </c>
    </row>
    <row r="255" spans="1:1" ht="18.75">
      <c r="A255" s="186"/>
    </row>
  </sheetData>
  <mergeCells count="15">
    <mergeCell ref="E135:E137"/>
    <mergeCell ref="I173:J173"/>
    <mergeCell ref="I174:J174"/>
    <mergeCell ref="B56:D56"/>
    <mergeCell ref="B59:D59"/>
    <mergeCell ref="B62:D62"/>
    <mergeCell ref="B86:D86"/>
    <mergeCell ref="E128:E130"/>
    <mergeCell ref="K128:K130"/>
    <mergeCell ref="N3:Q3"/>
    <mergeCell ref="E5:O5"/>
    <mergeCell ref="E13:O13"/>
    <mergeCell ref="E44:O44"/>
    <mergeCell ref="B50:D50"/>
    <mergeCell ref="B53:D53"/>
  </mergeCells>
  <pageMargins left="0.75" right="0.75" top="1" bottom="1" header="0.5" footer="0.5"/>
  <pageSetup scale="24" fitToWidth="0" fitToHeight="0" orientation="landscape" horizontalDpi="4294967292" verticalDpi="4294967292" r:id="rId1"/>
  <rowBreaks count="1" manualBreakCount="1">
    <brk id="107" max="16383" man="1"/>
  </rowBreaks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</dc:creator>
  <cp:lastModifiedBy>bez</cp:lastModifiedBy>
  <dcterms:created xsi:type="dcterms:W3CDTF">2024-02-08T03:15:35Z</dcterms:created>
  <dcterms:modified xsi:type="dcterms:W3CDTF">2024-02-08T03:15:57Z</dcterms:modified>
</cp:coreProperties>
</file>